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995" windowHeight="7935" activeTab="0"/>
  </bookViews>
  <sheets>
    <sheet name="A-9" sheetId="1" r:id="rId1"/>
    <sheet name="A-10" sheetId="2" r:id="rId2"/>
    <sheet name="A-11" sheetId="3" r:id="rId3"/>
    <sheet name="A-12" sheetId="4" r:id="rId4"/>
    <sheet name="A-13" sheetId="5" r:id="rId5"/>
    <sheet name="A-14" sheetId="6" r:id="rId6"/>
    <sheet name="A-15" sheetId="7" r:id="rId7"/>
    <sheet name="A-16" sheetId="8" r:id="rId8"/>
    <sheet name="A-17" sheetId="9" r:id="rId9"/>
    <sheet name="A-18" sheetId="10" r:id="rId10"/>
    <sheet name="A-19" sheetId="11" r:id="rId1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<sst xmlns="http://schemas.openxmlformats.org/spreadsheetml/2006/main" count="1123" uniqueCount="237">
  <si>
    <t xml:space="preserve"> </t>
  </si>
  <si>
    <t>Shipments</t>
  </si>
  <si>
    <t>NAICS</t>
  </si>
  <si>
    <t>Industry</t>
  </si>
  <si>
    <t>Net</t>
  </si>
  <si>
    <t>Residual</t>
  </si>
  <si>
    <t>Distillate</t>
  </si>
  <si>
    <t>LPG and</t>
  </si>
  <si>
    <t>Coke and</t>
  </si>
  <si>
    <t>Natural</t>
  </si>
  <si>
    <t>Fuel Oil</t>
  </si>
  <si>
    <t>Coal</t>
  </si>
  <si>
    <t>Breeze</t>
  </si>
  <si>
    <t>311</t>
  </si>
  <si>
    <t>Food</t>
  </si>
  <si>
    <t>*</t>
  </si>
  <si>
    <t xml:space="preserve">   311221</t>
  </si>
  <si>
    <t>Wet Corn Milling</t>
  </si>
  <si>
    <t xml:space="preserve">  31131</t>
  </si>
  <si>
    <t>Sugar Manufacturing</t>
  </si>
  <si>
    <t>312</t>
  </si>
  <si>
    <t>Beverage and Tobacco Products</t>
  </si>
  <si>
    <t xml:space="preserve"> 3121</t>
  </si>
  <si>
    <t xml:space="preserve">  Beverages</t>
  </si>
  <si>
    <t xml:space="preserve"> 3122</t>
  </si>
  <si>
    <t xml:space="preserve">  Tobacco </t>
  </si>
  <si>
    <t>313</t>
  </si>
  <si>
    <t>Textile Mills</t>
  </si>
  <si>
    <t>314</t>
  </si>
  <si>
    <t>Textile Product Mills</t>
  </si>
  <si>
    <t>Q</t>
  </si>
  <si>
    <t>315</t>
  </si>
  <si>
    <t>Apparel</t>
  </si>
  <si>
    <t>316</t>
  </si>
  <si>
    <t>Leather and Allied Products</t>
  </si>
  <si>
    <t>321</t>
  </si>
  <si>
    <t>Wood Products</t>
  </si>
  <si>
    <t xml:space="preserve">   321113</t>
  </si>
  <si>
    <t xml:space="preserve">  Sawmills</t>
  </si>
  <si>
    <t xml:space="preserve"> 3212</t>
  </si>
  <si>
    <t xml:space="preserve">  Veneer, Plywood, and Engineered Woods</t>
  </si>
  <si>
    <t xml:space="preserve"> 3219</t>
  </si>
  <si>
    <t xml:space="preserve">  Other Wood Products</t>
  </si>
  <si>
    <t>322</t>
  </si>
  <si>
    <t>Paper</t>
  </si>
  <si>
    <t xml:space="preserve">   322110</t>
  </si>
  <si>
    <t xml:space="preserve">  Pulp Mills</t>
  </si>
  <si>
    <t>W</t>
  </si>
  <si>
    <t xml:space="preserve">   322121</t>
  </si>
  <si>
    <t xml:space="preserve">  Paper Mills, except Newsprint</t>
  </si>
  <si>
    <t xml:space="preserve">   322122</t>
  </si>
  <si>
    <t xml:space="preserve">  Newsprint Mills</t>
  </si>
  <si>
    <t xml:space="preserve">   322130</t>
  </si>
  <si>
    <t xml:space="preserve">  Paperboard Mills</t>
  </si>
  <si>
    <t>323</t>
  </si>
  <si>
    <t>Printing and Related Support</t>
  </si>
  <si>
    <t>324</t>
  </si>
  <si>
    <t>Petroleum and Coal Products</t>
  </si>
  <si>
    <t xml:space="preserve">   324110</t>
  </si>
  <si>
    <t xml:space="preserve">  Petroleum Refineries</t>
  </si>
  <si>
    <t xml:space="preserve">   324199</t>
  </si>
  <si>
    <t xml:space="preserve">  Other Petroleum and Coal Products</t>
  </si>
  <si>
    <t>325</t>
  </si>
  <si>
    <t>Chemicals</t>
  </si>
  <si>
    <t xml:space="preserve">   325110</t>
  </si>
  <si>
    <t xml:space="preserve">  Petrochemicals</t>
  </si>
  <si>
    <t xml:space="preserve">   325120</t>
  </si>
  <si>
    <t xml:space="preserve">  Industrial Gases</t>
  </si>
  <si>
    <t xml:space="preserve">   325181</t>
  </si>
  <si>
    <t xml:space="preserve">  Alkalies and Chlorine</t>
  </si>
  <si>
    <t xml:space="preserve">   325182</t>
  </si>
  <si>
    <t xml:space="preserve">  Carbon Black </t>
  </si>
  <si>
    <t xml:space="preserve">   325188</t>
  </si>
  <si>
    <t xml:space="preserve">  Other Basic Inorganic Chemicals</t>
  </si>
  <si>
    <t xml:space="preserve">   325192</t>
  </si>
  <si>
    <t xml:space="preserve">  Cyclic Crudes and Intermediates</t>
  </si>
  <si>
    <t xml:space="preserve">   325193</t>
  </si>
  <si>
    <t xml:space="preserve">  Ethyl Alcohol </t>
  </si>
  <si>
    <t xml:space="preserve">   325199</t>
  </si>
  <si>
    <t xml:space="preserve">  Other Basic Organic Chemicals</t>
  </si>
  <si>
    <t xml:space="preserve">   325211</t>
  </si>
  <si>
    <t xml:space="preserve">  Plastics Materials and Resins</t>
  </si>
  <si>
    <t xml:space="preserve">   325212</t>
  </si>
  <si>
    <t xml:space="preserve">  Synthetic Rubber</t>
  </si>
  <si>
    <t xml:space="preserve">   325222</t>
  </si>
  <si>
    <t xml:space="preserve">  Noncellulosic Organic Fibers</t>
  </si>
  <si>
    <t xml:space="preserve">   325311</t>
  </si>
  <si>
    <t xml:space="preserve">  Nitrogenous Fertilizers</t>
  </si>
  <si>
    <t xml:space="preserve">   325312</t>
  </si>
  <si>
    <t xml:space="preserve">  Phosphatic Fertilizers</t>
  </si>
  <si>
    <t xml:space="preserve"> 3254</t>
  </si>
  <si>
    <t xml:space="preserve">  Pharmaceuticals and Medicines</t>
  </si>
  <si>
    <t xml:space="preserve">   325412</t>
  </si>
  <si>
    <t xml:space="preserve">  Pharmaceutical Preparation</t>
  </si>
  <si>
    <t xml:space="preserve">   325992</t>
  </si>
  <si>
    <t xml:space="preserve">  Photographic Film, Paper, Plate, and Chemicals</t>
  </si>
  <si>
    <t>326</t>
  </si>
  <si>
    <t>Plastics and Rubber Products</t>
  </si>
  <si>
    <t>327</t>
  </si>
  <si>
    <t>Nonmetallic Mineral Products</t>
  </si>
  <si>
    <t xml:space="preserve">   327211</t>
  </si>
  <si>
    <t xml:space="preserve">  Flat Glass</t>
  </si>
  <si>
    <t xml:space="preserve">   327213</t>
  </si>
  <si>
    <t xml:space="preserve">  Glass Containers</t>
  </si>
  <si>
    <t xml:space="preserve">   327310</t>
  </si>
  <si>
    <t xml:space="preserve">  Cements</t>
  </si>
  <si>
    <t xml:space="preserve">   327410</t>
  </si>
  <si>
    <t xml:space="preserve">  Lime</t>
  </si>
  <si>
    <t xml:space="preserve">   327993</t>
  </si>
  <si>
    <t xml:space="preserve">  Mineral Wool</t>
  </si>
  <si>
    <t>331</t>
  </si>
  <si>
    <t>Primary Metals</t>
  </si>
  <si>
    <t xml:space="preserve">   331111</t>
  </si>
  <si>
    <t xml:space="preserve">  Iron and Steel Mills</t>
  </si>
  <si>
    <t xml:space="preserve">   331112</t>
  </si>
  <si>
    <t xml:space="preserve">  Electrometallurgical Ferroalloy Products</t>
  </si>
  <si>
    <t xml:space="preserve"> 3312</t>
  </si>
  <si>
    <t xml:space="preserve">  Steel Products from Purchased Steel</t>
  </si>
  <si>
    <t xml:space="preserve"> 3313</t>
  </si>
  <si>
    <t xml:space="preserve">  Alumina and Aluminum</t>
  </si>
  <si>
    <t xml:space="preserve"> 3314</t>
  </si>
  <si>
    <t xml:space="preserve">  Nonferrous Metals, except Aluminum</t>
  </si>
  <si>
    <t xml:space="preserve"> 3315</t>
  </si>
  <si>
    <t xml:space="preserve">  Foundries</t>
  </si>
  <si>
    <t xml:space="preserve">   331511</t>
  </si>
  <si>
    <t xml:space="preserve">  Iron Foundries</t>
  </si>
  <si>
    <t xml:space="preserve">   331521</t>
  </si>
  <si>
    <t xml:space="preserve">  Aluminum Die-Casting Foundries</t>
  </si>
  <si>
    <t xml:space="preserve">   331524</t>
  </si>
  <si>
    <t xml:space="preserve">  Aluminum Foundries, except Die-Casting</t>
  </si>
  <si>
    <t>332</t>
  </si>
  <si>
    <t>Fabricated Metal Products</t>
  </si>
  <si>
    <t>333</t>
  </si>
  <si>
    <t>Machinery</t>
  </si>
  <si>
    <t>334</t>
  </si>
  <si>
    <t>Computer and Electronic Products</t>
  </si>
  <si>
    <t xml:space="preserve">   334413</t>
  </si>
  <si>
    <t xml:space="preserve">  Semiconductors and Related Devices</t>
  </si>
  <si>
    <t>335</t>
  </si>
  <si>
    <t>Electrical Equip., Appliances, and Components</t>
  </si>
  <si>
    <t>336</t>
  </si>
  <si>
    <t>Transportation Equipment</t>
  </si>
  <si>
    <t xml:space="preserve">   336112</t>
  </si>
  <si>
    <t xml:space="preserve">  Light Trucks and Utility Vehicles</t>
  </si>
  <si>
    <t>337</t>
  </si>
  <si>
    <t>Furniture and Related Products</t>
  </si>
  <si>
    <t>339</t>
  </si>
  <si>
    <t>Miscellaneous</t>
  </si>
  <si>
    <t>All Manufacturing</t>
  </si>
  <si>
    <t>ESA</t>
  </si>
  <si>
    <t>EPA</t>
  </si>
  <si>
    <t>311, 312</t>
  </si>
  <si>
    <t>Food and beverages</t>
  </si>
  <si>
    <t>Textile mills</t>
  </si>
  <si>
    <t>Textile mill products</t>
  </si>
  <si>
    <t>Leather and allied products</t>
  </si>
  <si>
    <t>321, 322</t>
  </si>
  <si>
    <t>Forest Products</t>
  </si>
  <si>
    <t>CO2 Emissions (MMT) in 1998</t>
  </si>
  <si>
    <t>n.a.</t>
  </si>
  <si>
    <t>Textiles</t>
  </si>
  <si>
    <t>313, 314, 315</t>
  </si>
  <si>
    <t>Food &amp; beverages</t>
  </si>
  <si>
    <t>Wood products</t>
  </si>
  <si>
    <t>Forest products</t>
  </si>
  <si>
    <t>*Controlled emissions factors to EPA estimate for Textiles of 39.1.</t>
  </si>
  <si>
    <t>Total</t>
  </si>
  <si>
    <t>Check</t>
  </si>
  <si>
    <t>Other, total</t>
  </si>
  <si>
    <t>Emissions Conversion Factor, rev. 98</t>
  </si>
  <si>
    <t>Energy</t>
  </si>
  <si>
    <t>Onsite</t>
  </si>
  <si>
    <t>Gas</t>
  </si>
  <si>
    <t>Note: Used EPA estimate for Food and beverages for 1998 of 93.7 and EIA conversion factors for 1998;  then backed</t>
  </si>
  <si>
    <t>Electricity</t>
  </si>
  <si>
    <t>NGL</t>
  </si>
  <si>
    <t>Other</t>
  </si>
  <si>
    <t>(trillion Btus)</t>
  </si>
  <si>
    <t>(Million metric tons CO2)</t>
  </si>
  <si>
    <t xml:space="preserve">         into the total for net electricity to calculate its conversion factor.  Used same approach to calculate the totals for</t>
  </si>
  <si>
    <t xml:space="preserve">         food and beverage and tobacco products (proportionality of the total and residual for net electricity).</t>
  </si>
  <si>
    <t>Note: Sugar mfg., beverage and tobacco data from MECS were not available in 1998.</t>
  </si>
  <si>
    <t xml:space="preserve">Note:  Controlled to EIA (Shipper) for total and primary fuels.  EPA estimates include oil </t>
  </si>
  <si>
    <t xml:space="preserve">           and gas exploration.</t>
  </si>
  <si>
    <t>**</t>
  </si>
  <si>
    <t>**Sum of other and petroleum from Shipper.</t>
  </si>
  <si>
    <t>***</t>
  </si>
  <si>
    <t>***Sum of other and petroleum less resid., dist., LPG, and coke.</t>
  </si>
  <si>
    <t>Emissions Conversion Factors</t>
  </si>
  <si>
    <t>indicates withheld data too large for accurate measurement.</t>
  </si>
  <si>
    <t>Sum</t>
  </si>
  <si>
    <t>Note:  Controlled to 1998 EIA (Shipper) for total and primary fuels.</t>
  </si>
  <si>
    <t>Note:  Controlled to EIA (Shipper) for total and primary fuels and Cements are within 10% of EPA.</t>
  </si>
  <si>
    <t>Note:  Controlled to EIA total (Shipper) and its primary fuels.  Iron and steel within 10% of EPA.</t>
  </si>
  <si>
    <t>indicates withheld data makes an estimate impossible.</t>
  </si>
  <si>
    <t>Note:  Controlled to EIA (Shipper) for total other and major primary fuels, then subtracted separate</t>
  </si>
  <si>
    <t xml:space="preserve">          estimates for Food, Textiles, and Wood Products.</t>
  </si>
  <si>
    <t>EIA</t>
  </si>
  <si>
    <t>Note:  Used the 2002 conversion factor for natural gas for nitrogenous fertilizer.</t>
  </si>
  <si>
    <t>Compared to EPA and EIA Estimates</t>
  </si>
  <si>
    <t>From the EIA Industrial Sector</t>
  </si>
  <si>
    <t>Chemicals, exc. Nit. Fert.</t>
  </si>
  <si>
    <t>Nit. Fert.</t>
  </si>
  <si>
    <t>Industrial Sector</t>
  </si>
  <si>
    <t>(Million Metric Tons)</t>
  </si>
  <si>
    <t>Total Industrial</t>
  </si>
  <si>
    <t>Allocation to</t>
  </si>
  <si>
    <t>Mining</t>
  </si>
  <si>
    <t>Construction</t>
  </si>
  <si>
    <t>Manufacturing</t>
  </si>
  <si>
    <t>Subtotal: Mining, Construction</t>
  </si>
  <si>
    <t>and Manufacturing</t>
  </si>
  <si>
    <t>Total Industrial less subtotal of</t>
  </si>
  <si>
    <t>Mining, Construction and Manufacturing</t>
  </si>
  <si>
    <t>Agriculture, Forestry and Fisheries</t>
  </si>
  <si>
    <t xml:space="preserve">                   Source:  Total industrial emissions, EIA; all other emission estimates, ESA.</t>
  </si>
  <si>
    <t>ESA Estimates Based on MECS Only</t>
  </si>
  <si>
    <t>Note: Some of the data cells are withheld; *Estimates less than 0.5; W=Withheld to avoid didclosing data for individual establishments; Q=Withheld because</t>
  </si>
  <si>
    <t xml:space="preserve">          Relative Standard Error is greater than 50 percent; and NA=Not Available</t>
  </si>
  <si>
    <t>Source: Energy Information Administration, Manufacturing Energy Consumption Survey, 1998.</t>
  </si>
  <si>
    <t>Table 1.2    First Use of Energy for All Purposes (Fuel and Nonfuel) (Trillion Btu)</t>
  </si>
  <si>
    <t>Fuel Consumption</t>
  </si>
  <si>
    <t>CO2 Emissions</t>
  </si>
  <si>
    <t xml:space="preserve">  conversion factors to match. Then, used EPA total for forest products.</t>
  </si>
  <si>
    <t>Note:  Controlled 1998 paper industry emissions to EIA (Shipper) by fuel type and calculated revised emissions</t>
  </si>
  <si>
    <t>Appendix Table A-18. Emissions from the Primary Metals Sector, 1998</t>
  </si>
  <si>
    <t>Appendix Table A-17. Emissions from the Nonmettalic Minerals Sector, 1998</t>
  </si>
  <si>
    <t>Appendix Table A-16. Emissions from the Chemical Sector, 1998</t>
  </si>
  <si>
    <t>Appendix Table A-15. Emissions from the Petroleum Products Sector, 1998</t>
  </si>
  <si>
    <t>Appendix Table A-14. Emissions from the Forest Product Sector, 1998</t>
  </si>
  <si>
    <t>Appendix Table A-13. Emissions from the Textile Sector, 1998</t>
  </si>
  <si>
    <t>Appendix Table A-12. Emissions from the Food Products Sector, 1998</t>
  </si>
  <si>
    <t>Appendix Table A-11. MECS, 1998</t>
  </si>
  <si>
    <t>Source:  ESA calculations and separate estimates from EIA and EPA.</t>
  </si>
  <si>
    <r>
      <t>Appendix Table A-9.  Allocation of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Emissions in EIA's</t>
    </r>
  </si>
  <si>
    <r>
      <t>Appendix Table A-10. ESA Estimates of CO</t>
    </r>
    <r>
      <rPr>
        <b/>
        <vertAlign val="subscript"/>
        <sz val="8"/>
        <rFont val="Helv"/>
        <family val="0"/>
      </rPr>
      <t>2</t>
    </r>
    <r>
      <rPr>
        <b/>
        <sz val="8"/>
        <rFont val="Helv"/>
        <family val="0"/>
      </rPr>
      <t xml:space="preserve"> Emissions for Manufacturing, 1998</t>
    </r>
  </si>
  <si>
    <t>Appendix Table A-19. Emissions from All Other Manufacturing Sectors, 1998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</si>
</sst>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_)"/>
    <numFmt numFmtId="166" formatCode="0.0"/>
  </numFmts>
  <fonts count="15">
    <font>
      <sz val="10"/>
      <name val="Arial"/>
      <family val="0"/>
    </font>
    <font>
      <sz val="8"/>
      <name val="Helv"/>
      <family val="0"/>
    </font>
    <font>
      <b/>
      <sz val="8"/>
      <name val="Helv"/>
      <family val="0"/>
    </font>
    <font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bscript"/>
      <sz val="8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Helv"/>
      <family val="0"/>
    </font>
    <font>
      <b/>
      <sz val="9"/>
      <name val="Helv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3" xfId="0" applyFont="1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5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49" fontId="3" fillId="0" borderId="4" xfId="0" applyNumberFormat="1" applyFont="1" applyBorder="1" applyAlignment="1" applyProtection="1">
      <alignment/>
      <protection/>
    </xf>
    <xf numFmtId="49" fontId="3" fillId="0" borderId="5" xfId="0" applyNumberFormat="1" applyFont="1" applyBorder="1" applyAlignment="1" applyProtection="1">
      <alignment horizontal="left"/>
      <protection/>
    </xf>
    <xf numFmtId="49" fontId="3" fillId="2" borderId="4" xfId="0" applyNumberFormat="1" applyFont="1" applyFill="1" applyBorder="1" applyAlignment="1" applyProtection="1">
      <alignment/>
      <protection/>
    </xf>
    <xf numFmtId="49" fontId="3" fillId="0" borderId="4" xfId="0" applyNumberFormat="1" applyFont="1" applyBorder="1" applyAlignment="1">
      <alignment/>
    </xf>
    <xf numFmtId="49" fontId="3" fillId="0" borderId="6" xfId="0" applyNumberFormat="1" applyFont="1" applyBorder="1" applyAlignment="1" applyProtection="1">
      <alignment/>
      <protection/>
    </xf>
    <xf numFmtId="49" fontId="3" fillId="0" borderId="7" xfId="0" applyNumberFormat="1" applyFont="1" applyBorder="1" applyAlignment="1" applyProtection="1">
      <alignment horizontal="left"/>
      <protection/>
    </xf>
    <xf numFmtId="3" fontId="1" fillId="0" borderId="6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49" fontId="3" fillId="0" borderId="1" xfId="0" applyNumberFormat="1" applyFont="1" applyBorder="1" applyAlignment="1" applyProtection="1">
      <alignment/>
      <protection/>
    </xf>
    <xf numFmtId="49" fontId="3" fillId="0" borderId="2" xfId="0" applyNumberFormat="1" applyFont="1" applyBorder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166" fontId="1" fillId="0" borderId="8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8" xfId="0" applyNumberFormat="1" applyFont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9" fontId="3" fillId="2" borderId="0" xfId="0" applyNumberFormat="1" applyFont="1" applyFill="1" applyBorder="1" applyAlignment="1" applyProtection="1">
      <alignment horizontal="left"/>
      <protection/>
    </xf>
    <xf numFmtId="49" fontId="3" fillId="0" borderId="3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166" fontId="4" fillId="0" borderId="3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3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7" fillId="0" borderId="4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 horizontal="left"/>
      <protection/>
    </xf>
    <xf numFmtId="166" fontId="3" fillId="0" borderId="1" xfId="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4" xfId="0" applyNumberFormat="1" applyFont="1" applyBorder="1" applyAlignment="1" applyProtection="1">
      <alignment/>
      <protection/>
    </xf>
    <xf numFmtId="166" fontId="3" fillId="0" borderId="5" xfId="0" applyNumberFormat="1" applyFont="1" applyBorder="1" applyAlignment="1" applyProtection="1">
      <alignment horizontal="left"/>
      <protection/>
    </xf>
    <xf numFmtId="166" fontId="3" fillId="0" borderId="4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5" xfId="0" applyNumberFormat="1" applyFont="1" applyBorder="1" applyAlignment="1">
      <alignment horizontal="right"/>
    </xf>
    <xf numFmtId="166" fontId="3" fillId="0" borderId="6" xfId="0" applyNumberFormat="1" applyFont="1" applyBorder="1" applyAlignment="1" applyProtection="1">
      <alignment/>
      <protection/>
    </xf>
    <xf numFmtId="166" fontId="3" fillId="0" borderId="7" xfId="0" applyNumberFormat="1" applyFont="1" applyBorder="1" applyAlignment="1" applyProtection="1">
      <alignment horizontal="left"/>
      <protection/>
    </xf>
    <xf numFmtId="166" fontId="3" fillId="0" borderId="4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7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4" fillId="0" borderId="4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3" fillId="0" borderId="4" xfId="0" applyNumberFormat="1" applyFont="1" applyBorder="1" applyAlignment="1" applyProtection="1">
      <alignment/>
      <protection/>
    </xf>
    <xf numFmtId="164" fontId="3" fillId="0" borderId="6" xfId="0" applyNumberFormat="1" applyFont="1" applyBorder="1" applyAlignment="1" applyProtection="1">
      <alignment/>
      <protection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3" fillId="0" borderId="4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left"/>
      <protection/>
    </xf>
    <xf numFmtId="164" fontId="3" fillId="0" borderId="0" xfId="21" applyNumberFormat="1" applyFont="1" applyBorder="1" applyAlignment="1" applyProtection="1">
      <alignment horizontal="left"/>
      <protection/>
    </xf>
    <xf numFmtId="164" fontId="3" fillId="0" borderId="8" xfId="0" applyNumberFormat="1" applyFont="1" applyBorder="1" applyAlignment="1" applyProtection="1">
      <alignment horizontal="left"/>
      <protection/>
    </xf>
    <xf numFmtId="164" fontId="3" fillId="0" borderId="7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applyProtection="1">
      <alignment/>
      <protection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1" fillId="0" borderId="4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3" borderId="9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9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3" borderId="9" xfId="0" applyNumberFormat="1" applyFont="1" applyFill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6" fontId="3" fillId="3" borderId="0" xfId="0" applyNumberFormat="1" applyFont="1" applyFill="1" applyAlignment="1">
      <alignment/>
    </xf>
    <xf numFmtId="3" fontId="1" fillId="0" borderId="5" xfId="0" applyNumberFormat="1" applyFont="1" applyBorder="1" applyAlignment="1">
      <alignment horizontal="center"/>
    </xf>
    <xf numFmtId="49" fontId="3" fillId="0" borderId="0" xfId="21" applyNumberFormat="1" applyFont="1" applyBorder="1" applyAlignment="1" applyProtection="1">
      <alignment horizontal="left"/>
      <protection/>
    </xf>
    <xf numFmtId="0" fontId="4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/>
    </xf>
    <xf numFmtId="166" fontId="3" fillId="0" borderId="2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1" fillId="0" borderId="8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164" fontId="12" fillId="0" borderId="1" xfId="0" applyNumberFormat="1" applyFont="1" applyBorder="1" applyAlignment="1">
      <alignment/>
    </xf>
    <xf numFmtId="164" fontId="12" fillId="0" borderId="2" xfId="0" applyNumberFormat="1" applyFont="1" applyBorder="1" applyAlignment="1">
      <alignment/>
    </xf>
    <xf numFmtId="164" fontId="12" fillId="0" borderId="1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>
      <alignment/>
    </xf>
    <xf numFmtId="164" fontId="12" fillId="0" borderId="2" xfId="0" applyNumberFormat="1" applyFont="1" applyBorder="1" applyAlignment="1" applyProtection="1">
      <alignment horizontal="center"/>
      <protection/>
    </xf>
    <xf numFmtId="164" fontId="13" fillId="0" borderId="4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5" xfId="0" applyFont="1" applyBorder="1" applyAlignment="1" applyProtection="1">
      <alignment horizontal="center"/>
      <protection/>
    </xf>
    <xf numFmtId="164" fontId="12" fillId="0" borderId="4" xfId="0" applyNumberFormat="1" applyFont="1" applyBorder="1" applyAlignment="1">
      <alignment/>
    </xf>
    <xf numFmtId="164" fontId="12" fillId="0" borderId="5" xfId="0" applyNumberFormat="1" applyFont="1" applyBorder="1" applyAlignment="1">
      <alignment/>
    </xf>
    <xf numFmtId="0" fontId="12" fillId="0" borderId="4" xfId="0" applyFont="1" applyBorder="1" applyAlignment="1" applyProtection="1">
      <alignment horizontal="center"/>
      <protection/>
    </xf>
    <xf numFmtId="164" fontId="12" fillId="0" borderId="6" xfId="0" applyNumberFormat="1" applyFont="1" applyBorder="1" applyAlignment="1">
      <alignment/>
    </xf>
    <xf numFmtId="164" fontId="12" fillId="0" borderId="7" xfId="0" applyNumberFormat="1" applyFont="1" applyBorder="1" applyAlignment="1">
      <alignment/>
    </xf>
    <xf numFmtId="164" fontId="12" fillId="0" borderId="8" xfId="0" applyNumberFormat="1" applyFont="1" applyBorder="1" applyAlignment="1">
      <alignment/>
    </xf>
    <xf numFmtId="0" fontId="12" fillId="0" borderId="8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164" fontId="12" fillId="0" borderId="6" xfId="0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164" fontId="12" fillId="0" borderId="7" xfId="0" applyNumberFormat="1" applyFont="1" applyBorder="1" applyAlignment="1">
      <alignment horizontal="right"/>
    </xf>
    <xf numFmtId="164" fontId="14" fillId="0" borderId="4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5" xfId="0" applyNumberFormat="1" applyFont="1" applyBorder="1" applyAlignment="1">
      <alignment/>
    </xf>
    <xf numFmtId="164" fontId="13" fillId="0" borderId="4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12" fillId="0" borderId="5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/>
    </xf>
    <xf numFmtId="164" fontId="14" fillId="0" borderId="2" xfId="0" applyNumberFormat="1" applyFont="1" applyBorder="1" applyAlignment="1">
      <alignment/>
    </xf>
    <xf numFmtId="164" fontId="14" fillId="0" borderId="3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64" fontId="14" fillId="0" borderId="6" xfId="0" applyNumberFormat="1" applyFont="1" applyBorder="1" applyAlignment="1">
      <alignment/>
    </xf>
    <xf numFmtId="164" fontId="14" fillId="0" borderId="8" xfId="0" applyNumberFormat="1" applyFont="1" applyBorder="1" applyAlignment="1">
      <alignment/>
    </xf>
    <xf numFmtId="164" fontId="14" fillId="0" borderId="7" xfId="0" applyNumberFormat="1" applyFont="1" applyBorder="1" applyAlignment="1">
      <alignment/>
    </xf>
    <xf numFmtId="164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3.140625" style="53" customWidth="1"/>
    <col min="2" max="16384" width="9.140625" style="53" customWidth="1"/>
  </cols>
  <sheetData>
    <row r="1" spans="1:4" ht="11.25">
      <c r="A1" s="235" t="s">
        <v>234</v>
      </c>
      <c r="B1" s="235"/>
      <c r="C1" s="235"/>
      <c r="D1" s="235"/>
    </row>
    <row r="2" spans="1:4" ht="11.25">
      <c r="A2" s="235" t="s">
        <v>203</v>
      </c>
      <c r="B2" s="235"/>
      <c r="C2" s="235"/>
      <c r="D2" s="235"/>
    </row>
    <row r="3" spans="1:4" ht="11.25">
      <c r="A3" s="59"/>
      <c r="B3" s="221">
        <v>1998</v>
      </c>
      <c r="C3" s="207">
        <v>2002</v>
      </c>
      <c r="D3" s="208">
        <v>2006</v>
      </c>
    </row>
    <row r="4" spans="1:4" ht="11.25">
      <c r="A4" s="64"/>
      <c r="B4" s="236" t="s">
        <v>204</v>
      </c>
      <c r="C4" s="237"/>
      <c r="D4" s="238"/>
    </row>
    <row r="5" spans="1:4" ht="11.25">
      <c r="A5" s="223" t="s">
        <v>205</v>
      </c>
      <c r="B5" s="119">
        <v>1794.9</v>
      </c>
      <c r="C5" s="120">
        <v>1715.5</v>
      </c>
      <c r="D5" s="121">
        <v>1652.4</v>
      </c>
    </row>
    <row r="6" spans="1:4" ht="11.25">
      <c r="A6" s="222" t="s">
        <v>206</v>
      </c>
      <c r="B6" s="119"/>
      <c r="C6" s="120"/>
      <c r="D6" s="121"/>
    </row>
    <row r="7" spans="1:4" ht="11.25">
      <c r="A7" s="223" t="s">
        <v>207</v>
      </c>
      <c r="B7" s="119">
        <v>158.1</v>
      </c>
      <c r="C7" s="120">
        <v>157</v>
      </c>
      <c r="D7" s="121">
        <v>176.5</v>
      </c>
    </row>
    <row r="8" spans="1:4" ht="11.25">
      <c r="A8" s="223" t="s">
        <v>208</v>
      </c>
      <c r="B8" s="119">
        <v>107.9</v>
      </c>
      <c r="C8" s="120">
        <v>131</v>
      </c>
      <c r="D8" s="121">
        <v>133.9</v>
      </c>
    </row>
    <row r="9" spans="1:4" ht="11.25">
      <c r="A9" s="223" t="s">
        <v>209</v>
      </c>
      <c r="B9" s="119">
        <v>1486.2</v>
      </c>
      <c r="C9" s="120">
        <v>1392.3</v>
      </c>
      <c r="D9" s="121">
        <v>1314.8</v>
      </c>
    </row>
    <row r="10" spans="1:4" ht="11.25">
      <c r="A10" s="64"/>
      <c r="B10" s="119"/>
      <c r="C10" s="120"/>
      <c r="D10" s="121"/>
    </row>
    <row r="11" spans="1:4" ht="11.25">
      <c r="A11" s="223" t="s">
        <v>210</v>
      </c>
      <c r="B11" s="119"/>
      <c r="C11" s="120"/>
      <c r="D11" s="121"/>
    </row>
    <row r="12" spans="1:4" ht="11.25">
      <c r="A12" s="223" t="s">
        <v>211</v>
      </c>
      <c r="B12" s="119">
        <f>+B7+B8+B9</f>
        <v>1752.2</v>
      </c>
      <c r="C12" s="120">
        <f>+C7+C8+C9</f>
        <v>1680.3</v>
      </c>
      <c r="D12" s="121">
        <f>+D7+D8+D9</f>
        <v>1625.1999999999998</v>
      </c>
    </row>
    <row r="13" spans="1:4" ht="11.25">
      <c r="A13" s="64"/>
      <c r="B13" s="119"/>
      <c r="C13" s="120"/>
      <c r="D13" s="121"/>
    </row>
    <row r="14" spans="1:4" ht="11.25">
      <c r="A14" s="223" t="s">
        <v>212</v>
      </c>
      <c r="B14" s="119"/>
      <c r="C14" s="120"/>
      <c r="D14" s="121"/>
    </row>
    <row r="15" spans="1:4" ht="11.25">
      <c r="A15" s="223" t="s">
        <v>213</v>
      </c>
      <c r="B15" s="119">
        <f>+B5-B12</f>
        <v>42.700000000000045</v>
      </c>
      <c r="C15" s="120">
        <f>+C5-C12</f>
        <v>35.200000000000045</v>
      </c>
      <c r="D15" s="121">
        <f>+D5-D12</f>
        <v>27.200000000000273</v>
      </c>
    </row>
    <row r="16" spans="1:4" ht="11.25">
      <c r="A16" s="64"/>
      <c r="B16" s="64"/>
      <c r="C16" s="62"/>
      <c r="D16" s="161"/>
    </row>
    <row r="17" spans="1:4" ht="11.25">
      <c r="A17" s="224" t="s">
        <v>214</v>
      </c>
      <c r="B17" s="122">
        <f>+B15</f>
        <v>42.700000000000045</v>
      </c>
      <c r="C17" s="123">
        <f>+C15</f>
        <v>35.200000000000045</v>
      </c>
      <c r="D17" s="113">
        <f>+D15</f>
        <v>27.200000000000273</v>
      </c>
    </row>
    <row r="19" ht="11.25">
      <c r="A19" s="53" t="s">
        <v>215</v>
      </c>
    </row>
  </sheetData>
  <mergeCells count="3">
    <mergeCell ref="A1:D1"/>
    <mergeCell ref="A2:D2"/>
    <mergeCell ref="B4:D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7">
      <selection activeCell="B32" sqref="B32"/>
    </sheetView>
  </sheetViews>
  <sheetFormatPr defaultColWidth="9.140625" defaultRowHeight="12.75"/>
  <cols>
    <col min="1" max="1" width="7.421875" style="86" bestFit="1" customWidth="1"/>
    <col min="2" max="2" width="30.28125" style="86" bestFit="1" customWidth="1"/>
    <col min="3" max="11" width="9.140625" style="86" customWidth="1"/>
    <col min="12" max="13" width="0" style="86" hidden="1" customWidth="1"/>
    <col min="14" max="16384" width="9.140625" style="86" customWidth="1"/>
  </cols>
  <sheetData>
    <row r="1" spans="1:11" ht="11.25">
      <c r="A1" s="235" t="s">
        <v>225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1.25">
      <c r="A2" s="242" t="s">
        <v>200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3" ht="11.25">
      <c r="A3" s="84"/>
      <c r="B3" s="85"/>
      <c r="C3" s="2"/>
      <c r="D3" s="6" t="s">
        <v>4</v>
      </c>
      <c r="E3" s="6" t="s">
        <v>5</v>
      </c>
      <c r="F3" s="6" t="s">
        <v>6</v>
      </c>
      <c r="G3" s="152" t="s">
        <v>9</v>
      </c>
      <c r="H3" s="6" t="s">
        <v>7</v>
      </c>
      <c r="I3" s="5"/>
      <c r="J3" s="6" t="s">
        <v>8</v>
      </c>
      <c r="K3" s="7" t="s">
        <v>0</v>
      </c>
      <c r="L3" s="174" t="s">
        <v>1</v>
      </c>
      <c r="M3" s="124" t="s">
        <v>190</v>
      </c>
    </row>
    <row r="4" spans="1:13" ht="11.25">
      <c r="A4" s="87" t="s">
        <v>2</v>
      </c>
      <c r="B4" s="88" t="s">
        <v>3</v>
      </c>
      <c r="C4" s="16" t="s">
        <v>166</v>
      </c>
      <c r="D4" s="11" t="s">
        <v>174</v>
      </c>
      <c r="E4" s="11" t="s">
        <v>10</v>
      </c>
      <c r="F4" s="11" t="s">
        <v>10</v>
      </c>
      <c r="G4" s="11" t="s">
        <v>172</v>
      </c>
      <c r="H4" s="11" t="s">
        <v>175</v>
      </c>
      <c r="I4" s="11" t="s">
        <v>11</v>
      </c>
      <c r="J4" s="11" t="s">
        <v>12</v>
      </c>
      <c r="K4" s="13" t="s">
        <v>176</v>
      </c>
      <c r="L4" s="170" t="s">
        <v>170</v>
      </c>
      <c r="M4" s="104" t="s">
        <v>166</v>
      </c>
    </row>
    <row r="5" spans="1:13" ht="11.25">
      <c r="A5" s="90"/>
      <c r="B5" s="79"/>
      <c r="C5" s="90"/>
      <c r="D5" s="78"/>
      <c r="E5" s="78"/>
      <c r="F5" s="232" t="s">
        <v>177</v>
      </c>
      <c r="G5" s="232"/>
      <c r="H5" s="232"/>
      <c r="I5" s="78"/>
      <c r="J5" s="78"/>
      <c r="K5" s="79"/>
      <c r="L5" s="171" t="s">
        <v>171</v>
      </c>
      <c r="M5" s="172" t="s">
        <v>167</v>
      </c>
    </row>
    <row r="6" spans="1:13" ht="11.25">
      <c r="A6" s="35" t="s">
        <v>110</v>
      </c>
      <c r="B6" s="36" t="s">
        <v>111</v>
      </c>
      <c r="C6" s="74">
        <v>2560</v>
      </c>
      <c r="D6" s="75">
        <v>545</v>
      </c>
      <c r="E6" s="75">
        <v>30</v>
      </c>
      <c r="F6" s="75">
        <v>9</v>
      </c>
      <c r="G6" s="75">
        <v>933</v>
      </c>
      <c r="H6" s="75">
        <v>3</v>
      </c>
      <c r="I6" s="75">
        <v>715</v>
      </c>
      <c r="J6" s="75">
        <v>437</v>
      </c>
      <c r="K6" s="76">
        <v>82</v>
      </c>
      <c r="L6" s="76">
        <v>192</v>
      </c>
      <c r="M6" s="183">
        <f>SUM(D6:K6)-L6</f>
        <v>2562</v>
      </c>
    </row>
    <row r="7" spans="1:13" ht="11.25">
      <c r="A7" s="23" t="s">
        <v>112</v>
      </c>
      <c r="B7" s="24" t="s">
        <v>113</v>
      </c>
      <c r="C7" s="20">
        <v>1584</v>
      </c>
      <c r="D7" s="21">
        <v>158</v>
      </c>
      <c r="E7" s="21">
        <v>29</v>
      </c>
      <c r="F7" s="21">
        <v>5</v>
      </c>
      <c r="G7" s="21">
        <v>494</v>
      </c>
      <c r="H7" s="21">
        <v>0</v>
      </c>
      <c r="I7" s="21">
        <v>680</v>
      </c>
      <c r="J7" s="21">
        <v>388</v>
      </c>
      <c r="K7" s="22">
        <v>22</v>
      </c>
      <c r="L7" s="22">
        <v>192</v>
      </c>
      <c r="M7" s="184">
        <f aca="true" t="shared" si="0" ref="M7:M15">SUM(D7:K7)-L7</f>
        <v>1584</v>
      </c>
    </row>
    <row r="8" spans="1:13" ht="11.25">
      <c r="A8" s="23" t="s">
        <v>114</v>
      </c>
      <c r="B8" s="24" t="s">
        <v>115</v>
      </c>
      <c r="C8" s="20">
        <v>37</v>
      </c>
      <c r="D8" s="21">
        <v>0</v>
      </c>
      <c r="E8" s="21">
        <v>0</v>
      </c>
      <c r="F8" s="21">
        <v>0</v>
      </c>
      <c r="G8" s="21">
        <v>2</v>
      </c>
      <c r="H8" s="21">
        <v>0</v>
      </c>
      <c r="I8" s="21">
        <v>19</v>
      </c>
      <c r="J8" s="21">
        <v>0</v>
      </c>
      <c r="K8" s="22">
        <v>0</v>
      </c>
      <c r="L8" s="22">
        <v>0</v>
      </c>
      <c r="M8" s="186">
        <f t="shared" si="0"/>
        <v>21</v>
      </c>
    </row>
    <row r="9" spans="1:13" ht="11.25">
      <c r="A9" s="23" t="s">
        <v>116</v>
      </c>
      <c r="B9" s="24" t="s">
        <v>117</v>
      </c>
      <c r="C9" s="20">
        <v>55</v>
      </c>
      <c r="D9" s="21">
        <v>17</v>
      </c>
      <c r="E9" s="21">
        <v>0</v>
      </c>
      <c r="F9" s="21">
        <v>0</v>
      </c>
      <c r="G9" s="21">
        <v>34</v>
      </c>
      <c r="H9" s="21">
        <v>0</v>
      </c>
      <c r="I9" s="21">
        <v>0</v>
      </c>
      <c r="J9" s="21">
        <v>0</v>
      </c>
      <c r="K9" s="22">
        <v>3</v>
      </c>
      <c r="L9" s="22">
        <v>0</v>
      </c>
      <c r="M9" s="184">
        <f t="shared" si="0"/>
        <v>54</v>
      </c>
    </row>
    <row r="10" spans="1:13" ht="11.25">
      <c r="A10" s="23" t="s">
        <v>118</v>
      </c>
      <c r="B10" s="24" t="s">
        <v>119</v>
      </c>
      <c r="C10" s="20">
        <v>490</v>
      </c>
      <c r="D10" s="21">
        <v>246</v>
      </c>
      <c r="E10" s="21">
        <v>0</v>
      </c>
      <c r="F10" s="21">
        <v>1</v>
      </c>
      <c r="G10" s="21">
        <v>189</v>
      </c>
      <c r="H10" s="21">
        <v>1</v>
      </c>
      <c r="I10" s="21">
        <v>2</v>
      </c>
      <c r="J10" s="21">
        <v>2</v>
      </c>
      <c r="K10" s="22">
        <v>49</v>
      </c>
      <c r="L10" s="22">
        <v>0</v>
      </c>
      <c r="M10" s="184">
        <f t="shared" si="0"/>
        <v>490</v>
      </c>
    </row>
    <row r="11" spans="1:13" ht="11.25">
      <c r="A11" s="23" t="s">
        <v>120</v>
      </c>
      <c r="B11" s="24" t="s">
        <v>121</v>
      </c>
      <c r="C11" s="187" t="s">
        <v>159</v>
      </c>
      <c r="D11" s="188" t="s">
        <v>159</v>
      </c>
      <c r="E11" s="188" t="s">
        <v>159</v>
      </c>
      <c r="F11" s="188" t="s">
        <v>159</v>
      </c>
      <c r="G11" s="188" t="s">
        <v>159</v>
      </c>
      <c r="H11" s="188" t="s">
        <v>159</v>
      </c>
      <c r="I11" s="188" t="s">
        <v>159</v>
      </c>
      <c r="J11" s="188" t="s">
        <v>159</v>
      </c>
      <c r="K11" s="190" t="s">
        <v>159</v>
      </c>
      <c r="L11" s="190" t="s">
        <v>159</v>
      </c>
      <c r="M11" s="184"/>
    </row>
    <row r="12" spans="1:13" ht="11.25">
      <c r="A12" s="23" t="s">
        <v>122</v>
      </c>
      <c r="B12" s="24" t="s">
        <v>123</v>
      </c>
      <c r="C12" s="20">
        <v>236</v>
      </c>
      <c r="D12" s="21">
        <v>63</v>
      </c>
      <c r="E12" s="21">
        <v>0</v>
      </c>
      <c r="F12" s="21">
        <v>1</v>
      </c>
      <c r="G12" s="21">
        <v>137</v>
      </c>
      <c r="H12" s="21">
        <v>2</v>
      </c>
      <c r="I12" s="21">
        <v>2</v>
      </c>
      <c r="J12" s="21">
        <v>30</v>
      </c>
      <c r="K12" s="22">
        <v>2</v>
      </c>
      <c r="L12" s="22">
        <v>0</v>
      </c>
      <c r="M12" s="184">
        <f t="shared" si="0"/>
        <v>237</v>
      </c>
    </row>
    <row r="13" spans="1:13" ht="11.25">
      <c r="A13" s="26" t="s">
        <v>124</v>
      </c>
      <c r="B13" s="24" t="s">
        <v>125</v>
      </c>
      <c r="C13" s="20">
        <v>103</v>
      </c>
      <c r="D13" s="21">
        <v>35</v>
      </c>
      <c r="E13" s="21">
        <v>0</v>
      </c>
      <c r="F13" s="21">
        <v>1</v>
      </c>
      <c r="G13" s="21">
        <v>33</v>
      </c>
      <c r="H13" s="21">
        <v>1</v>
      </c>
      <c r="I13" s="21">
        <v>1</v>
      </c>
      <c r="J13" s="21">
        <v>30</v>
      </c>
      <c r="K13" s="22">
        <v>1</v>
      </c>
      <c r="L13" s="22">
        <v>0</v>
      </c>
      <c r="M13" s="184">
        <f t="shared" si="0"/>
        <v>102</v>
      </c>
    </row>
    <row r="14" spans="1:13" ht="11.25">
      <c r="A14" s="26" t="s">
        <v>126</v>
      </c>
      <c r="B14" s="24" t="s">
        <v>127</v>
      </c>
      <c r="C14" s="20">
        <v>20</v>
      </c>
      <c r="D14" s="21">
        <v>5</v>
      </c>
      <c r="E14" s="21">
        <v>0</v>
      </c>
      <c r="F14" s="21">
        <v>0</v>
      </c>
      <c r="G14" s="21">
        <v>15</v>
      </c>
      <c r="H14" s="21">
        <v>0</v>
      </c>
      <c r="I14" s="21">
        <v>0</v>
      </c>
      <c r="J14" s="21">
        <v>0</v>
      </c>
      <c r="K14" s="22">
        <v>0</v>
      </c>
      <c r="L14" s="22">
        <v>0</v>
      </c>
      <c r="M14" s="184">
        <f t="shared" si="0"/>
        <v>20</v>
      </c>
    </row>
    <row r="15" spans="1:13" ht="11.25">
      <c r="A15" s="27" t="s">
        <v>128</v>
      </c>
      <c r="B15" s="28" t="s">
        <v>129</v>
      </c>
      <c r="C15" s="29">
        <v>19</v>
      </c>
      <c r="D15" s="30">
        <v>4</v>
      </c>
      <c r="E15" s="30">
        <v>0</v>
      </c>
      <c r="F15" s="30">
        <v>0</v>
      </c>
      <c r="G15" s="30">
        <v>14</v>
      </c>
      <c r="H15" s="30">
        <v>0</v>
      </c>
      <c r="I15" s="30">
        <v>0</v>
      </c>
      <c r="J15" s="30">
        <v>0</v>
      </c>
      <c r="K15" s="31">
        <v>0</v>
      </c>
      <c r="L15" s="31">
        <v>0</v>
      </c>
      <c r="M15" s="185">
        <f t="shared" si="0"/>
        <v>18</v>
      </c>
    </row>
    <row r="16" spans="1:12" ht="11.25">
      <c r="A16" s="23"/>
      <c r="B16" s="54"/>
      <c r="C16" s="21"/>
      <c r="D16" s="21"/>
      <c r="E16" s="21"/>
      <c r="F16" s="21"/>
      <c r="G16" s="21"/>
      <c r="H16" s="21"/>
      <c r="I16" s="21"/>
      <c r="J16" s="21"/>
      <c r="K16" s="22"/>
      <c r="L16" s="21"/>
    </row>
    <row r="17" spans="1:12" s="33" customFormat="1" ht="10.5">
      <c r="A17" s="233" t="s">
        <v>188</v>
      </c>
      <c r="B17" s="234"/>
      <c r="C17" s="204"/>
      <c r="D17" s="205">
        <f>+D20/(D6/1000)</f>
        <v>186.78899082568805</v>
      </c>
      <c r="E17" s="205">
        <v>82</v>
      </c>
      <c r="F17" s="205">
        <v>82</v>
      </c>
      <c r="G17" s="205">
        <f>+G20/(G6/1000)</f>
        <v>51.33976420150053</v>
      </c>
      <c r="H17" s="205">
        <v>82</v>
      </c>
      <c r="I17" s="205">
        <f>+I20/(I6/1000)</f>
        <v>131.8881118881119</v>
      </c>
      <c r="J17" s="205">
        <v>82</v>
      </c>
      <c r="K17" s="206">
        <f>+K20/(K6/1000)</f>
        <v>41.46341463414634</v>
      </c>
      <c r="L17" s="34">
        <v>186</v>
      </c>
    </row>
    <row r="18" spans="1:11" ht="11.25">
      <c r="A18" s="214"/>
      <c r="B18" s="82"/>
      <c r="C18" s="82"/>
      <c r="D18" s="82"/>
      <c r="E18" s="82"/>
      <c r="F18" s="82"/>
      <c r="G18" s="82"/>
      <c r="H18" s="82"/>
      <c r="I18" s="82"/>
      <c r="J18" s="82"/>
      <c r="K18" s="89"/>
    </row>
    <row r="19" spans="1:12" ht="11.25">
      <c r="A19" s="84"/>
      <c r="B19" s="85"/>
      <c r="C19" s="83"/>
      <c r="D19" s="83"/>
      <c r="E19" s="83"/>
      <c r="F19" s="241" t="s">
        <v>178</v>
      </c>
      <c r="G19" s="241"/>
      <c r="H19" s="241"/>
      <c r="I19" s="83"/>
      <c r="J19" s="83"/>
      <c r="K19" s="85"/>
      <c r="L19" s="85"/>
    </row>
    <row r="20" spans="1:13" ht="11.25">
      <c r="A20" s="96" t="s">
        <v>110</v>
      </c>
      <c r="B20" s="97" t="s">
        <v>111</v>
      </c>
      <c r="C20" s="82">
        <v>251</v>
      </c>
      <c r="D20" s="82">
        <v>101.8</v>
      </c>
      <c r="E20" s="82">
        <f>+(E6/1000)*E17</f>
        <v>2.46</v>
      </c>
      <c r="F20" s="82">
        <f>+(F6/1000)*F17</f>
        <v>0.738</v>
      </c>
      <c r="G20" s="82">
        <v>47.9</v>
      </c>
      <c r="H20" s="82">
        <f>+(H6/1000)*H17</f>
        <v>0.246</v>
      </c>
      <c r="I20" s="82">
        <v>94.3</v>
      </c>
      <c r="J20" s="82">
        <f>+(J6/1000)*J17</f>
        <v>35.834</v>
      </c>
      <c r="K20" s="89">
        <v>3.4</v>
      </c>
      <c r="L20" s="89">
        <f>+(L6/1000)*L17</f>
        <v>35.712</v>
      </c>
      <c r="M20" s="86">
        <f>SUM(D20:K20)-L20</f>
        <v>250.966</v>
      </c>
    </row>
    <row r="21" spans="1:12" ht="11.25">
      <c r="A21" s="96" t="s">
        <v>112</v>
      </c>
      <c r="B21" s="97" t="s">
        <v>113</v>
      </c>
      <c r="C21" s="82">
        <f>SUM(D21:K21)-L21</f>
        <v>144.3626152718673</v>
      </c>
      <c r="D21" s="82">
        <f aca="true" t="shared" si="1" ref="D21:L21">+(D7/1000)*D$17</f>
        <v>29.512660550458712</v>
      </c>
      <c r="E21" s="82">
        <f t="shared" si="1"/>
        <v>2.378</v>
      </c>
      <c r="F21" s="82">
        <f t="shared" si="1"/>
        <v>0.41000000000000003</v>
      </c>
      <c r="G21" s="82">
        <f t="shared" si="1"/>
        <v>25.36184351554126</v>
      </c>
      <c r="H21" s="82">
        <f t="shared" si="1"/>
        <v>0</v>
      </c>
      <c r="I21" s="82">
        <f t="shared" si="1"/>
        <v>89.68391608391609</v>
      </c>
      <c r="J21" s="82">
        <f t="shared" si="1"/>
        <v>31.816000000000003</v>
      </c>
      <c r="K21" s="89">
        <f t="shared" si="1"/>
        <v>0.9121951219512194</v>
      </c>
      <c r="L21" s="89">
        <f t="shared" si="1"/>
        <v>35.712</v>
      </c>
    </row>
    <row r="22" spans="1:12" ht="11.25">
      <c r="A22" s="96" t="s">
        <v>114</v>
      </c>
      <c r="B22" s="97" t="s">
        <v>115</v>
      </c>
      <c r="C22" s="176" t="s">
        <v>159</v>
      </c>
      <c r="D22" s="176" t="s">
        <v>159</v>
      </c>
      <c r="E22" s="176" t="s">
        <v>159</v>
      </c>
      <c r="F22" s="176" t="s">
        <v>159</v>
      </c>
      <c r="G22" s="176" t="s">
        <v>159</v>
      </c>
      <c r="H22" s="176" t="s">
        <v>159</v>
      </c>
      <c r="I22" s="176" t="s">
        <v>159</v>
      </c>
      <c r="J22" s="176" t="s">
        <v>159</v>
      </c>
      <c r="K22" s="177" t="s">
        <v>159</v>
      </c>
      <c r="L22" s="177" t="s">
        <v>159</v>
      </c>
    </row>
    <row r="23" spans="1:12" ht="11.25">
      <c r="A23" s="96" t="s">
        <v>116</v>
      </c>
      <c r="B23" s="97" t="s">
        <v>117</v>
      </c>
      <c r="C23" s="82">
        <f aca="true" t="shared" si="2" ref="C23:C28">SUM(D23:K23)-L23</f>
        <v>5.045355070790154</v>
      </c>
      <c r="D23" s="82">
        <f aca="true" t="shared" si="3" ref="D23:L23">+(D9/1000)*D$17</f>
        <v>3.175412844036697</v>
      </c>
      <c r="E23" s="82">
        <f t="shared" si="3"/>
        <v>0</v>
      </c>
      <c r="F23" s="82">
        <f t="shared" si="3"/>
        <v>0</v>
      </c>
      <c r="G23" s="82">
        <f t="shared" si="3"/>
        <v>1.7455519828510182</v>
      </c>
      <c r="H23" s="82">
        <f t="shared" si="3"/>
        <v>0</v>
      </c>
      <c r="I23" s="82">
        <f t="shared" si="3"/>
        <v>0</v>
      </c>
      <c r="J23" s="82">
        <f t="shared" si="3"/>
        <v>0</v>
      </c>
      <c r="K23" s="89">
        <f t="shared" si="3"/>
        <v>0.12439024390243902</v>
      </c>
      <c r="L23" s="89">
        <f t="shared" si="3"/>
        <v>0</v>
      </c>
    </row>
    <row r="24" spans="1:12" ht="11.25">
      <c r="A24" s="96" t="s">
        <v>118</v>
      </c>
      <c r="B24" s="97" t="s">
        <v>119</v>
      </c>
      <c r="C24" s="82">
        <f t="shared" si="2"/>
        <v>58.276790718052254</v>
      </c>
      <c r="D24" s="82">
        <f aca="true" t="shared" si="4" ref="D24:L24">+(D10/1000)*D$17</f>
        <v>45.95009174311926</v>
      </c>
      <c r="E24" s="82">
        <f t="shared" si="4"/>
        <v>0</v>
      </c>
      <c r="F24" s="82">
        <f t="shared" si="4"/>
        <v>0.082</v>
      </c>
      <c r="G24" s="82">
        <f t="shared" si="4"/>
        <v>9.7032154340836</v>
      </c>
      <c r="H24" s="82">
        <f t="shared" si="4"/>
        <v>0.082</v>
      </c>
      <c r="I24" s="82">
        <f t="shared" si="4"/>
        <v>0.2637762237762238</v>
      </c>
      <c r="J24" s="82">
        <f t="shared" si="4"/>
        <v>0.164</v>
      </c>
      <c r="K24" s="89">
        <f t="shared" si="4"/>
        <v>2.0317073170731708</v>
      </c>
      <c r="L24" s="89">
        <f t="shared" si="4"/>
        <v>0</v>
      </c>
    </row>
    <row r="25" spans="1:12" ht="11.25">
      <c r="A25" s="96" t="s">
        <v>122</v>
      </c>
      <c r="B25" s="97" t="s">
        <v>123</v>
      </c>
      <c r="C25" s="82">
        <f t="shared" si="2"/>
        <v>21.853957170668437</v>
      </c>
      <c r="D25" s="82">
        <f>+(D12/1000)*D$17</f>
        <v>11.767706422018348</v>
      </c>
      <c r="E25" s="82">
        <f aca="true" t="shared" si="5" ref="E25:L25">+(E12/1000)*E$17</f>
        <v>0</v>
      </c>
      <c r="F25" s="82">
        <f t="shared" si="5"/>
        <v>0.082</v>
      </c>
      <c r="G25" s="82">
        <f t="shared" si="5"/>
        <v>7.033547695605573</v>
      </c>
      <c r="H25" s="82">
        <f t="shared" si="5"/>
        <v>0.164</v>
      </c>
      <c r="I25" s="82">
        <f t="shared" si="5"/>
        <v>0.2637762237762238</v>
      </c>
      <c r="J25" s="82">
        <f t="shared" si="5"/>
        <v>2.46</v>
      </c>
      <c r="K25" s="89">
        <f t="shared" si="5"/>
        <v>0.08292682926829267</v>
      </c>
      <c r="L25" s="89">
        <f t="shared" si="5"/>
        <v>0</v>
      </c>
    </row>
    <row r="26" spans="1:12" ht="11.25">
      <c r="A26" s="103" t="s">
        <v>124</v>
      </c>
      <c r="B26" s="97" t="s">
        <v>125</v>
      </c>
      <c r="C26" s="82">
        <f t="shared" si="2"/>
        <v>5.514589212035429</v>
      </c>
      <c r="D26" s="82">
        <f>+(D13/2000)*D$17</f>
        <v>3.268807339449541</v>
      </c>
      <c r="E26" s="82">
        <f aca="true" t="shared" si="6" ref="E26:L26">+(E13/2000)*E$17</f>
        <v>0</v>
      </c>
      <c r="F26" s="82">
        <f t="shared" si="6"/>
        <v>0.041</v>
      </c>
      <c r="G26" s="82">
        <f t="shared" si="6"/>
        <v>0.8471061093247587</v>
      </c>
      <c r="H26" s="82">
        <f t="shared" si="6"/>
        <v>0.041</v>
      </c>
      <c r="I26" s="82">
        <f t="shared" si="6"/>
        <v>0.06594405594405595</v>
      </c>
      <c r="J26" s="82">
        <f t="shared" si="6"/>
        <v>1.23</v>
      </c>
      <c r="K26" s="89">
        <f t="shared" si="6"/>
        <v>0.02073170731707317</v>
      </c>
      <c r="L26" s="89">
        <f t="shared" si="6"/>
        <v>0</v>
      </c>
    </row>
    <row r="27" spans="1:12" ht="11.25">
      <c r="A27" s="103" t="s">
        <v>126</v>
      </c>
      <c r="B27" s="97" t="s">
        <v>127</v>
      </c>
      <c r="C27" s="82">
        <f t="shared" si="2"/>
        <v>1.7040414171509481</v>
      </c>
      <c r="D27" s="82">
        <f>+(D14/1000)*D$17</f>
        <v>0.9339449541284403</v>
      </c>
      <c r="E27" s="82">
        <f aca="true" t="shared" si="7" ref="E27:L27">+(E14/1000)*E$17</f>
        <v>0</v>
      </c>
      <c r="F27" s="82">
        <f t="shared" si="7"/>
        <v>0</v>
      </c>
      <c r="G27" s="82">
        <f t="shared" si="7"/>
        <v>0.7700964630225079</v>
      </c>
      <c r="H27" s="82">
        <f t="shared" si="7"/>
        <v>0</v>
      </c>
      <c r="I27" s="82">
        <f t="shared" si="7"/>
        <v>0</v>
      </c>
      <c r="J27" s="82">
        <f t="shared" si="7"/>
        <v>0</v>
      </c>
      <c r="K27" s="89">
        <f t="shared" si="7"/>
        <v>0</v>
      </c>
      <c r="L27" s="89">
        <f t="shared" si="7"/>
        <v>0</v>
      </c>
    </row>
    <row r="28" spans="1:12" ht="11.25">
      <c r="A28" s="101" t="s">
        <v>128</v>
      </c>
      <c r="B28" s="102" t="s">
        <v>129</v>
      </c>
      <c r="C28" s="78">
        <f t="shared" si="2"/>
        <v>1.4659126621237597</v>
      </c>
      <c r="D28" s="78">
        <f>+(D15/1000)*D$17</f>
        <v>0.7471559633027522</v>
      </c>
      <c r="E28" s="78">
        <f aca="true" t="shared" si="8" ref="E28:L28">+(E15/1000)*E$17</f>
        <v>0</v>
      </c>
      <c r="F28" s="78">
        <f t="shared" si="8"/>
        <v>0</v>
      </c>
      <c r="G28" s="78">
        <f t="shared" si="8"/>
        <v>0.7187566988210075</v>
      </c>
      <c r="H28" s="78">
        <f t="shared" si="8"/>
        <v>0</v>
      </c>
      <c r="I28" s="78">
        <f t="shared" si="8"/>
        <v>0</v>
      </c>
      <c r="J28" s="78">
        <f t="shared" si="8"/>
        <v>0</v>
      </c>
      <c r="K28" s="79">
        <f t="shared" si="8"/>
        <v>0</v>
      </c>
      <c r="L28" s="79">
        <f t="shared" si="8"/>
        <v>0</v>
      </c>
    </row>
    <row r="30" spans="4:5" ht="11.25" hidden="1">
      <c r="D30" s="189"/>
      <c r="E30" s="86" t="s">
        <v>194</v>
      </c>
    </row>
    <row r="32" ht="11.25">
      <c r="B32" s="86" t="s">
        <v>193</v>
      </c>
    </row>
  </sheetData>
  <mergeCells count="5">
    <mergeCell ref="A17:B17"/>
    <mergeCell ref="F5:H5"/>
    <mergeCell ref="F19:H19"/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6">
      <selection activeCell="B41" sqref="B41"/>
    </sheetView>
  </sheetViews>
  <sheetFormatPr defaultColWidth="9.140625" defaultRowHeight="12.75"/>
  <cols>
    <col min="1" max="1" width="9.140625" style="141" customWidth="1"/>
    <col min="2" max="2" width="35.7109375" style="141" customWidth="1"/>
    <col min="3" max="11" width="9.140625" style="141" customWidth="1"/>
    <col min="12" max="12" width="0" style="142" hidden="1" customWidth="1"/>
    <col min="13" max="16384" width="9.140625" style="141" customWidth="1"/>
  </cols>
  <sheetData>
    <row r="1" spans="1:11" ht="11.25">
      <c r="A1" s="235" t="s">
        <v>236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1.25">
      <c r="A2" s="242" t="s">
        <v>200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2" ht="11.25">
      <c r="A3" s="127"/>
      <c r="B3" s="128"/>
      <c r="C3" s="2"/>
      <c r="D3" s="6" t="s">
        <v>4</v>
      </c>
      <c r="E3" s="6" t="s">
        <v>5</v>
      </c>
      <c r="F3" s="6" t="s">
        <v>6</v>
      </c>
      <c r="G3" s="152" t="s">
        <v>9</v>
      </c>
      <c r="H3" s="6" t="s">
        <v>7</v>
      </c>
      <c r="I3" s="5"/>
      <c r="J3" s="6" t="s">
        <v>8</v>
      </c>
      <c r="K3" s="7" t="s">
        <v>0</v>
      </c>
      <c r="L3" s="216" t="s">
        <v>190</v>
      </c>
    </row>
    <row r="4" spans="1:12" ht="11.25">
      <c r="A4" s="130" t="s">
        <v>2</v>
      </c>
      <c r="B4" s="131" t="s">
        <v>3</v>
      </c>
      <c r="C4" s="16" t="s">
        <v>166</v>
      </c>
      <c r="D4" s="11" t="s">
        <v>174</v>
      </c>
      <c r="E4" s="11" t="s">
        <v>10</v>
      </c>
      <c r="F4" s="11" t="s">
        <v>10</v>
      </c>
      <c r="G4" s="11" t="s">
        <v>172</v>
      </c>
      <c r="H4" s="11" t="s">
        <v>175</v>
      </c>
      <c r="I4" s="11" t="s">
        <v>11</v>
      </c>
      <c r="J4" s="11" t="s">
        <v>12</v>
      </c>
      <c r="K4" s="13" t="s">
        <v>176</v>
      </c>
      <c r="L4" s="143" t="s">
        <v>166</v>
      </c>
    </row>
    <row r="5" spans="1:12" ht="11.25">
      <c r="A5" s="134"/>
      <c r="B5" s="135"/>
      <c r="C5" s="132"/>
      <c r="D5" s="133"/>
      <c r="E5" s="133"/>
      <c r="F5" s="232" t="s">
        <v>177</v>
      </c>
      <c r="G5" s="232"/>
      <c r="H5" s="232"/>
      <c r="I5" s="133"/>
      <c r="J5" s="133"/>
      <c r="K5" s="219"/>
      <c r="L5" s="147" t="s">
        <v>167</v>
      </c>
    </row>
    <row r="6" spans="1:12" ht="11.25">
      <c r="A6" s="132"/>
      <c r="B6" s="133" t="s">
        <v>168</v>
      </c>
      <c r="C6" s="127">
        <f>SUM(C7:C17)-C13</f>
        <v>2113</v>
      </c>
      <c r="D6" s="129">
        <f aca="true" t="shared" si="0" ref="D6:K6">SUM(D7:D17)-D13</f>
        <v>966</v>
      </c>
      <c r="E6" s="129">
        <f t="shared" si="0"/>
        <v>16</v>
      </c>
      <c r="F6" s="129">
        <f t="shared" si="0"/>
        <v>30</v>
      </c>
      <c r="G6" s="129">
        <f t="shared" si="0"/>
        <v>910</v>
      </c>
      <c r="H6" s="129">
        <f t="shared" si="0"/>
        <v>22</v>
      </c>
      <c r="I6" s="129">
        <f t="shared" si="0"/>
        <v>44</v>
      </c>
      <c r="J6" s="129">
        <f t="shared" si="0"/>
        <v>4</v>
      </c>
      <c r="K6" s="128">
        <f t="shared" si="0"/>
        <v>118</v>
      </c>
      <c r="L6" s="217">
        <f>SUM(D6:K6)</f>
        <v>2110</v>
      </c>
    </row>
    <row r="7" spans="1:12" ht="11.25">
      <c r="A7" s="125" t="s">
        <v>33</v>
      </c>
      <c r="B7" s="144" t="s">
        <v>34</v>
      </c>
      <c r="C7" s="137">
        <v>8</v>
      </c>
      <c r="D7" s="138">
        <v>3</v>
      </c>
      <c r="E7" s="138">
        <v>0</v>
      </c>
      <c r="F7" s="138">
        <v>0</v>
      </c>
      <c r="G7" s="138">
        <v>4</v>
      </c>
      <c r="H7" s="138">
        <v>0</v>
      </c>
      <c r="I7" s="138">
        <v>0</v>
      </c>
      <c r="J7" s="138">
        <v>0</v>
      </c>
      <c r="K7" s="217">
        <v>0</v>
      </c>
      <c r="L7" s="217">
        <f>SUM(D7:K7)</f>
        <v>7</v>
      </c>
    </row>
    <row r="8" spans="1:12" ht="11.25">
      <c r="A8" s="125" t="s">
        <v>54</v>
      </c>
      <c r="B8" s="144" t="s">
        <v>55</v>
      </c>
      <c r="C8" s="137">
        <v>98</v>
      </c>
      <c r="D8" s="138">
        <v>51</v>
      </c>
      <c r="E8" s="138">
        <v>0</v>
      </c>
      <c r="F8" s="138">
        <v>0</v>
      </c>
      <c r="G8" s="138">
        <v>44</v>
      </c>
      <c r="H8" s="138">
        <v>1</v>
      </c>
      <c r="I8" s="138">
        <v>0</v>
      </c>
      <c r="J8" s="138">
        <v>0</v>
      </c>
      <c r="K8" s="217">
        <v>2</v>
      </c>
      <c r="L8" s="217">
        <f aca="true" t="shared" si="1" ref="L8:L17">SUM(D8:K8)</f>
        <v>98</v>
      </c>
    </row>
    <row r="9" spans="1:12" ht="11.25">
      <c r="A9" s="125" t="s">
        <v>96</v>
      </c>
      <c r="B9" s="144" t="s">
        <v>97</v>
      </c>
      <c r="C9" s="137">
        <v>328</v>
      </c>
      <c r="D9" s="138">
        <v>183</v>
      </c>
      <c r="E9" s="138">
        <v>5</v>
      </c>
      <c r="F9" s="138">
        <v>1</v>
      </c>
      <c r="G9" s="138">
        <v>126</v>
      </c>
      <c r="H9" s="138">
        <v>5</v>
      </c>
      <c r="I9" s="138">
        <v>3</v>
      </c>
      <c r="J9" s="138">
        <v>0</v>
      </c>
      <c r="K9" s="217">
        <v>5</v>
      </c>
      <c r="L9" s="217">
        <f t="shared" si="1"/>
        <v>328</v>
      </c>
    </row>
    <row r="10" spans="1:12" ht="11.25">
      <c r="A10" s="125" t="s">
        <v>130</v>
      </c>
      <c r="B10" s="144" t="s">
        <v>131</v>
      </c>
      <c r="C10" s="137">
        <v>445</v>
      </c>
      <c r="D10" s="138">
        <v>176</v>
      </c>
      <c r="E10" s="138">
        <v>2</v>
      </c>
      <c r="F10" s="138">
        <v>6</v>
      </c>
      <c r="G10" s="138">
        <v>241</v>
      </c>
      <c r="H10" s="138">
        <v>5</v>
      </c>
      <c r="I10" s="138">
        <v>3</v>
      </c>
      <c r="J10" s="138">
        <v>3</v>
      </c>
      <c r="K10" s="217">
        <v>10</v>
      </c>
      <c r="L10" s="217">
        <f t="shared" si="1"/>
        <v>446</v>
      </c>
    </row>
    <row r="11" spans="1:12" ht="11.25">
      <c r="A11" s="125" t="s">
        <v>132</v>
      </c>
      <c r="B11" s="144" t="s">
        <v>133</v>
      </c>
      <c r="C11" s="137">
        <v>217</v>
      </c>
      <c r="D11" s="138">
        <v>96</v>
      </c>
      <c r="E11" s="138">
        <v>1</v>
      </c>
      <c r="F11" s="138">
        <v>3</v>
      </c>
      <c r="G11" s="138">
        <v>99</v>
      </c>
      <c r="H11" s="138">
        <v>3</v>
      </c>
      <c r="I11" s="138">
        <v>6</v>
      </c>
      <c r="J11" s="138">
        <v>0</v>
      </c>
      <c r="K11" s="217">
        <v>7</v>
      </c>
      <c r="L11" s="217">
        <f t="shared" si="1"/>
        <v>215</v>
      </c>
    </row>
    <row r="12" spans="1:12" ht="11.25">
      <c r="A12" s="125" t="s">
        <v>134</v>
      </c>
      <c r="B12" s="144" t="s">
        <v>135</v>
      </c>
      <c r="C12" s="137">
        <v>205</v>
      </c>
      <c r="D12" s="138">
        <v>137</v>
      </c>
      <c r="E12" s="138">
        <v>1</v>
      </c>
      <c r="F12" s="138">
        <v>1</v>
      </c>
      <c r="G12" s="138">
        <v>64</v>
      </c>
      <c r="H12" s="138">
        <v>0</v>
      </c>
      <c r="I12" s="138">
        <v>0</v>
      </c>
      <c r="J12" s="138">
        <v>0</v>
      </c>
      <c r="K12" s="217">
        <v>1</v>
      </c>
      <c r="L12" s="217">
        <f t="shared" si="1"/>
        <v>204</v>
      </c>
    </row>
    <row r="13" spans="1:12" ht="11.25">
      <c r="A13" s="125" t="s">
        <v>136</v>
      </c>
      <c r="B13" s="144" t="s">
        <v>137</v>
      </c>
      <c r="C13" s="137">
        <v>66</v>
      </c>
      <c r="D13" s="138">
        <v>46</v>
      </c>
      <c r="E13" s="138">
        <v>0</v>
      </c>
      <c r="F13" s="138">
        <v>0</v>
      </c>
      <c r="G13" s="138">
        <v>20</v>
      </c>
      <c r="H13" s="138">
        <v>0</v>
      </c>
      <c r="I13" s="138">
        <v>0</v>
      </c>
      <c r="J13" s="138">
        <v>0</v>
      </c>
      <c r="K13" s="217">
        <v>0</v>
      </c>
      <c r="L13" s="217">
        <f t="shared" si="1"/>
        <v>66</v>
      </c>
    </row>
    <row r="14" spans="1:12" ht="11.25">
      <c r="A14" s="125" t="s">
        <v>138</v>
      </c>
      <c r="B14" s="145" t="s">
        <v>139</v>
      </c>
      <c r="C14" s="137">
        <v>143</v>
      </c>
      <c r="D14" s="138">
        <v>55</v>
      </c>
      <c r="E14" s="138">
        <v>1</v>
      </c>
      <c r="F14" s="138">
        <v>1</v>
      </c>
      <c r="G14" s="138">
        <v>53</v>
      </c>
      <c r="H14" s="138">
        <v>2</v>
      </c>
      <c r="I14" s="138">
        <v>1</v>
      </c>
      <c r="J14" s="138">
        <v>0</v>
      </c>
      <c r="K14" s="217">
        <v>30</v>
      </c>
      <c r="L14" s="217">
        <f t="shared" si="1"/>
        <v>143</v>
      </c>
    </row>
    <row r="15" spans="1:12" ht="11.25">
      <c r="A15" s="125" t="s">
        <v>140</v>
      </c>
      <c r="B15" s="144" t="s">
        <v>141</v>
      </c>
      <c r="C15" s="137">
        <v>492</v>
      </c>
      <c r="D15" s="138">
        <v>195</v>
      </c>
      <c r="E15" s="138">
        <v>5</v>
      </c>
      <c r="F15" s="138">
        <v>15</v>
      </c>
      <c r="G15" s="138">
        <v>212</v>
      </c>
      <c r="H15" s="138">
        <v>4</v>
      </c>
      <c r="I15" s="138">
        <v>29</v>
      </c>
      <c r="J15" s="138">
        <v>1</v>
      </c>
      <c r="K15" s="217">
        <v>31</v>
      </c>
      <c r="L15" s="217">
        <f t="shared" si="1"/>
        <v>492</v>
      </c>
    </row>
    <row r="16" spans="1:12" ht="11.25">
      <c r="A16" s="125" t="s">
        <v>144</v>
      </c>
      <c r="B16" s="144" t="s">
        <v>145</v>
      </c>
      <c r="C16" s="137">
        <v>88</v>
      </c>
      <c r="D16" s="138">
        <v>30</v>
      </c>
      <c r="E16" s="138">
        <v>0</v>
      </c>
      <c r="F16" s="138">
        <v>1</v>
      </c>
      <c r="G16" s="138">
        <v>27</v>
      </c>
      <c r="H16" s="138">
        <v>1</v>
      </c>
      <c r="I16" s="138">
        <v>2</v>
      </c>
      <c r="J16" s="138">
        <v>0</v>
      </c>
      <c r="K16" s="217">
        <v>28</v>
      </c>
      <c r="L16" s="217">
        <f t="shared" si="1"/>
        <v>89</v>
      </c>
    </row>
    <row r="17" spans="1:12" ht="11.25">
      <c r="A17" s="126" t="s">
        <v>146</v>
      </c>
      <c r="B17" s="146" t="s">
        <v>147</v>
      </c>
      <c r="C17" s="139">
        <v>89</v>
      </c>
      <c r="D17" s="140">
        <v>40</v>
      </c>
      <c r="E17" s="140">
        <v>1</v>
      </c>
      <c r="F17" s="140">
        <v>2</v>
      </c>
      <c r="G17" s="140">
        <v>40</v>
      </c>
      <c r="H17" s="140">
        <v>1</v>
      </c>
      <c r="I17" s="140">
        <v>0</v>
      </c>
      <c r="J17" s="140">
        <v>0</v>
      </c>
      <c r="K17" s="218">
        <v>4</v>
      </c>
      <c r="L17" s="218">
        <f t="shared" si="1"/>
        <v>88</v>
      </c>
    </row>
    <row r="18" spans="1:11" ht="11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219"/>
    </row>
    <row r="19" spans="1:11" s="33" customFormat="1" ht="10.5">
      <c r="A19" s="233" t="s">
        <v>169</v>
      </c>
      <c r="B19" s="234"/>
      <c r="C19" s="204"/>
      <c r="D19" s="205">
        <f>+D22/(D6/1000)</f>
        <v>198.24016563146998</v>
      </c>
      <c r="E19" s="205">
        <v>105</v>
      </c>
      <c r="F19" s="205">
        <v>105</v>
      </c>
      <c r="G19" s="205">
        <f>+G22/(G6/1000)</f>
        <v>40.10989010989011</v>
      </c>
      <c r="H19" s="205">
        <v>105</v>
      </c>
      <c r="I19" s="205">
        <f>+I22/(I6/1000)</f>
        <v>104.54545454545452</v>
      </c>
      <c r="J19" s="205">
        <v>105</v>
      </c>
      <c r="K19" s="206">
        <v>13.56</v>
      </c>
    </row>
    <row r="20" spans="1:11" s="33" customFormat="1" ht="10.5">
      <c r="A20" s="163"/>
      <c r="B20" s="203"/>
      <c r="C20" s="204"/>
      <c r="D20" s="205"/>
      <c r="E20" s="205"/>
      <c r="F20" s="205"/>
      <c r="G20" s="205"/>
      <c r="H20" s="205"/>
      <c r="I20" s="205"/>
      <c r="J20" s="205"/>
      <c r="K20" s="206"/>
    </row>
    <row r="21" spans="1:12" s="33" customFormat="1" ht="10.5">
      <c r="A21" s="193"/>
      <c r="B21" s="194"/>
      <c r="C21" s="195"/>
      <c r="D21" s="196"/>
      <c r="E21" s="196"/>
      <c r="F21" s="241" t="s">
        <v>178</v>
      </c>
      <c r="G21" s="241"/>
      <c r="H21" s="241"/>
      <c r="I21" s="196"/>
      <c r="J21" s="196"/>
      <c r="K21" s="220"/>
      <c r="L21" s="197"/>
    </row>
    <row r="22" spans="1:12" ht="11.25">
      <c r="A22" s="132"/>
      <c r="B22" s="133" t="s">
        <v>168</v>
      </c>
      <c r="C22" s="133">
        <f>393.9-93.7-39.1-19.5</f>
        <v>241.59999999999997</v>
      </c>
      <c r="D22" s="133">
        <f>263.7-34.7-23.8-13.7</f>
        <v>191.5</v>
      </c>
      <c r="E22" s="133">
        <f aca="true" t="shared" si="2" ref="E22:F33">+(E6/1000)*E$19</f>
        <v>1.68</v>
      </c>
      <c r="F22" s="133">
        <f t="shared" si="2"/>
        <v>3.15</v>
      </c>
      <c r="G22" s="133">
        <f>91.5-41-10.1-3.9</f>
        <v>36.5</v>
      </c>
      <c r="H22" s="133">
        <f aca="true" t="shared" si="3" ref="H22:H33">+(H6/1000)*H$19</f>
        <v>2.31</v>
      </c>
      <c r="I22" s="133">
        <f>23.7-14.8-2.3-2</f>
        <v>4.599999999999999</v>
      </c>
      <c r="J22" s="133">
        <f aca="true" t="shared" si="4" ref="J22:J33">+(J6/1000)*J$19</f>
        <v>0.42</v>
      </c>
      <c r="K22" s="219">
        <f>1.6-0.2-1.1</f>
        <v>0.30000000000000004</v>
      </c>
      <c r="L22" s="143">
        <f>SUM(D22:K22)</f>
        <v>240.46</v>
      </c>
    </row>
    <row r="23" spans="1:12" ht="11.25">
      <c r="A23" s="125" t="s">
        <v>33</v>
      </c>
      <c r="B23" s="144" t="s">
        <v>34</v>
      </c>
      <c r="C23" s="133">
        <f>SUM(D23:K23)</f>
        <v>0.7551600573339704</v>
      </c>
      <c r="D23" s="133">
        <f aca="true" t="shared" si="5" ref="D23:D33">+(D7/1000)*D$19</f>
        <v>0.59472049689441</v>
      </c>
      <c r="E23" s="133">
        <f t="shared" si="2"/>
        <v>0</v>
      </c>
      <c r="F23" s="133">
        <f t="shared" si="2"/>
        <v>0</v>
      </c>
      <c r="G23" s="133">
        <f aca="true" t="shared" si="6" ref="G23:G33">+(G7/1000)*G$19</f>
        <v>0.16043956043956045</v>
      </c>
      <c r="H23" s="133">
        <f t="shared" si="3"/>
        <v>0</v>
      </c>
      <c r="I23" s="133">
        <f aca="true" t="shared" si="7" ref="I23:I33">+(I7/1000)*I$19</f>
        <v>0</v>
      </c>
      <c r="J23" s="133">
        <f t="shared" si="4"/>
        <v>0</v>
      </c>
      <c r="K23" s="219">
        <f aca="true" t="shared" si="8" ref="K23:K33">+(K7/1000)*K$19</f>
        <v>0</v>
      </c>
      <c r="L23" s="143"/>
    </row>
    <row r="24" spans="1:12" ht="11.25">
      <c r="A24" s="125" t="s">
        <v>54</v>
      </c>
      <c r="B24" s="144" t="s">
        <v>55</v>
      </c>
      <c r="C24" s="133">
        <f aca="true" t="shared" si="9" ref="C24:C33">SUM(D24:K24)</f>
        <v>12.007203612040133</v>
      </c>
      <c r="D24" s="133">
        <f t="shared" si="5"/>
        <v>10.110248447204969</v>
      </c>
      <c r="E24" s="133">
        <f t="shared" si="2"/>
        <v>0</v>
      </c>
      <c r="F24" s="133">
        <f t="shared" si="2"/>
        <v>0</v>
      </c>
      <c r="G24" s="133">
        <f t="shared" si="6"/>
        <v>1.7648351648351648</v>
      </c>
      <c r="H24" s="133">
        <f t="shared" si="3"/>
        <v>0.105</v>
      </c>
      <c r="I24" s="133">
        <f t="shared" si="7"/>
        <v>0</v>
      </c>
      <c r="J24" s="133">
        <f t="shared" si="4"/>
        <v>0</v>
      </c>
      <c r="K24" s="219">
        <f t="shared" si="8"/>
        <v>0.027120000000000002</v>
      </c>
      <c r="L24" s="143"/>
    </row>
    <row r="25" spans="1:12" ht="11.25">
      <c r="A25" s="125" t="s">
        <v>96</v>
      </c>
      <c r="B25" s="144" t="s">
        <v>97</v>
      </c>
      <c r="C25" s="133">
        <f t="shared" si="9"/>
        <v>42.86823282804151</v>
      </c>
      <c r="D25" s="133">
        <f t="shared" si="5"/>
        <v>36.27795031055901</v>
      </c>
      <c r="E25" s="133">
        <f t="shared" si="2"/>
        <v>0.525</v>
      </c>
      <c r="F25" s="133">
        <f t="shared" si="2"/>
        <v>0.105</v>
      </c>
      <c r="G25" s="133">
        <f t="shared" si="6"/>
        <v>5.053846153846154</v>
      </c>
      <c r="H25" s="133">
        <f t="shared" si="3"/>
        <v>0.525</v>
      </c>
      <c r="I25" s="133">
        <f t="shared" si="7"/>
        <v>0.31363636363636355</v>
      </c>
      <c r="J25" s="133">
        <f t="shared" si="4"/>
        <v>0</v>
      </c>
      <c r="K25" s="219">
        <f t="shared" si="8"/>
        <v>0.0678</v>
      </c>
      <c r="L25" s="143"/>
    </row>
    <row r="26" spans="1:12" ht="11.25">
      <c r="A26" s="125" t="s">
        <v>130</v>
      </c>
      <c r="B26" s="144" t="s">
        <v>131</v>
      </c>
      <c r="C26" s="133">
        <f t="shared" si="9"/>
        <v>46.68598903125859</v>
      </c>
      <c r="D26" s="133">
        <f t="shared" si="5"/>
        <v>34.89026915113872</v>
      </c>
      <c r="E26" s="133">
        <f t="shared" si="2"/>
        <v>0.21</v>
      </c>
      <c r="F26" s="133">
        <f t="shared" si="2"/>
        <v>0.63</v>
      </c>
      <c r="G26" s="133">
        <f t="shared" si="6"/>
        <v>9.666483516483517</v>
      </c>
      <c r="H26" s="133">
        <f t="shared" si="3"/>
        <v>0.525</v>
      </c>
      <c r="I26" s="133">
        <f t="shared" si="7"/>
        <v>0.31363636363636355</v>
      </c>
      <c r="J26" s="133">
        <f t="shared" si="4"/>
        <v>0.315</v>
      </c>
      <c r="K26" s="219">
        <f t="shared" si="8"/>
        <v>0.1356</v>
      </c>
      <c r="L26" s="143"/>
    </row>
    <row r="27" spans="1:12" ht="11.25">
      <c r="A27" s="125" t="s">
        <v>132</v>
      </c>
      <c r="B27" s="144" t="s">
        <v>133</v>
      </c>
      <c r="C27" s="133">
        <f t="shared" si="9"/>
        <v>24.45912774877297</v>
      </c>
      <c r="D27" s="133">
        <f t="shared" si="5"/>
        <v>19.03105590062112</v>
      </c>
      <c r="E27" s="133">
        <f t="shared" si="2"/>
        <v>0.105</v>
      </c>
      <c r="F27" s="133">
        <f t="shared" si="2"/>
        <v>0.315</v>
      </c>
      <c r="G27" s="133">
        <f t="shared" si="6"/>
        <v>3.970879120879121</v>
      </c>
      <c r="H27" s="133">
        <f t="shared" si="3"/>
        <v>0.315</v>
      </c>
      <c r="I27" s="133">
        <f t="shared" si="7"/>
        <v>0.6272727272727271</v>
      </c>
      <c r="J27" s="133">
        <f t="shared" si="4"/>
        <v>0</v>
      </c>
      <c r="K27" s="219">
        <f t="shared" si="8"/>
        <v>0.09492</v>
      </c>
      <c r="L27" s="143"/>
    </row>
    <row r="28" spans="1:12" ht="11.25">
      <c r="A28" s="125" t="s">
        <v>134</v>
      </c>
      <c r="B28" s="144" t="s">
        <v>135</v>
      </c>
      <c r="C28" s="133">
        <f t="shared" si="9"/>
        <v>29.949495658544357</v>
      </c>
      <c r="D28" s="133">
        <f t="shared" si="5"/>
        <v>27.15890269151139</v>
      </c>
      <c r="E28" s="133">
        <f t="shared" si="2"/>
        <v>0.105</v>
      </c>
      <c r="F28" s="133">
        <f t="shared" si="2"/>
        <v>0.105</v>
      </c>
      <c r="G28" s="133">
        <f t="shared" si="6"/>
        <v>2.5670329670329672</v>
      </c>
      <c r="H28" s="133">
        <f t="shared" si="3"/>
        <v>0</v>
      </c>
      <c r="I28" s="133">
        <f t="shared" si="7"/>
        <v>0</v>
      </c>
      <c r="J28" s="133">
        <f t="shared" si="4"/>
        <v>0</v>
      </c>
      <c r="K28" s="219">
        <f t="shared" si="8"/>
        <v>0.013560000000000001</v>
      </c>
      <c r="L28" s="143"/>
    </row>
    <row r="29" spans="1:12" ht="11.25">
      <c r="A29" s="125" t="s">
        <v>136</v>
      </c>
      <c r="B29" s="144" t="s">
        <v>137</v>
      </c>
      <c r="C29" s="133">
        <f t="shared" si="9"/>
        <v>9.921245421245422</v>
      </c>
      <c r="D29" s="133">
        <f t="shared" si="5"/>
        <v>9.119047619047619</v>
      </c>
      <c r="E29" s="133">
        <f t="shared" si="2"/>
        <v>0</v>
      </c>
      <c r="F29" s="133">
        <f t="shared" si="2"/>
        <v>0</v>
      </c>
      <c r="G29" s="133">
        <f t="shared" si="6"/>
        <v>0.8021978021978022</v>
      </c>
      <c r="H29" s="133">
        <f t="shared" si="3"/>
        <v>0</v>
      </c>
      <c r="I29" s="133">
        <f t="shared" si="7"/>
        <v>0</v>
      </c>
      <c r="J29" s="133">
        <f t="shared" si="4"/>
        <v>0</v>
      </c>
      <c r="K29" s="219">
        <f t="shared" si="8"/>
        <v>0</v>
      </c>
      <c r="L29" s="143"/>
    </row>
    <row r="30" spans="1:12" ht="11.25">
      <c r="A30" s="125" t="s">
        <v>138</v>
      </c>
      <c r="B30" s="145" t="s">
        <v>139</v>
      </c>
      <c r="C30" s="133">
        <f t="shared" si="9"/>
        <v>13.960378740100483</v>
      </c>
      <c r="D30" s="133">
        <f t="shared" si="5"/>
        <v>10.903209109730849</v>
      </c>
      <c r="E30" s="133">
        <f t="shared" si="2"/>
        <v>0.105</v>
      </c>
      <c r="F30" s="133">
        <f t="shared" si="2"/>
        <v>0.105</v>
      </c>
      <c r="G30" s="133">
        <f t="shared" si="6"/>
        <v>2.125824175824176</v>
      </c>
      <c r="H30" s="133">
        <f t="shared" si="3"/>
        <v>0.21</v>
      </c>
      <c r="I30" s="133">
        <f t="shared" si="7"/>
        <v>0.10454545454545452</v>
      </c>
      <c r="J30" s="133">
        <f t="shared" si="4"/>
        <v>0</v>
      </c>
      <c r="K30" s="219">
        <f t="shared" si="8"/>
        <v>0.4068</v>
      </c>
      <c r="L30" s="143"/>
    </row>
    <row r="31" spans="1:12" ht="11.25">
      <c r="A31" s="125" t="s">
        <v>140</v>
      </c>
      <c r="B31" s="144" t="s">
        <v>141</v>
      </c>
      <c r="C31" s="133">
        <f t="shared" si="9"/>
        <v>53.23730718325154</v>
      </c>
      <c r="D31" s="133">
        <f t="shared" si="5"/>
        <v>38.65683229813665</v>
      </c>
      <c r="E31" s="133">
        <f t="shared" si="2"/>
        <v>0.525</v>
      </c>
      <c r="F31" s="133">
        <f t="shared" si="2"/>
        <v>1.575</v>
      </c>
      <c r="G31" s="133">
        <f t="shared" si="6"/>
        <v>8.503296703296703</v>
      </c>
      <c r="H31" s="133">
        <f t="shared" si="3"/>
        <v>0.42</v>
      </c>
      <c r="I31" s="133">
        <f t="shared" si="7"/>
        <v>3.0318181818181813</v>
      </c>
      <c r="J31" s="133">
        <f t="shared" si="4"/>
        <v>0.105</v>
      </c>
      <c r="K31" s="219">
        <f t="shared" si="8"/>
        <v>0.42036</v>
      </c>
      <c r="L31" s="143"/>
    </row>
    <row r="32" spans="1:12" ht="11.25">
      <c r="A32" s="125" t="s">
        <v>144</v>
      </c>
      <c r="B32" s="144" t="s">
        <v>145</v>
      </c>
      <c r="C32" s="133">
        <f t="shared" si="9"/>
        <v>7.828942911002041</v>
      </c>
      <c r="D32" s="133">
        <f t="shared" si="5"/>
        <v>5.947204968944099</v>
      </c>
      <c r="E32" s="133">
        <f t="shared" si="2"/>
        <v>0</v>
      </c>
      <c r="F32" s="133">
        <f t="shared" si="2"/>
        <v>0.105</v>
      </c>
      <c r="G32" s="133">
        <f t="shared" si="6"/>
        <v>1.082967032967033</v>
      </c>
      <c r="H32" s="133">
        <f t="shared" si="3"/>
        <v>0.105</v>
      </c>
      <c r="I32" s="133">
        <f t="shared" si="7"/>
        <v>0.20909090909090905</v>
      </c>
      <c r="J32" s="133">
        <f t="shared" si="4"/>
        <v>0</v>
      </c>
      <c r="K32" s="219">
        <f t="shared" si="8"/>
        <v>0.37968</v>
      </c>
      <c r="L32" s="143"/>
    </row>
    <row r="33" spans="1:12" ht="11.25">
      <c r="A33" s="126" t="s">
        <v>146</v>
      </c>
      <c r="B33" s="146" t="s">
        <v>147</v>
      </c>
      <c r="C33" s="136">
        <f t="shared" si="9"/>
        <v>10.008242229654405</v>
      </c>
      <c r="D33" s="136">
        <f t="shared" si="5"/>
        <v>7.929606625258799</v>
      </c>
      <c r="E33" s="136">
        <f t="shared" si="2"/>
        <v>0.105</v>
      </c>
      <c r="F33" s="136">
        <f t="shared" si="2"/>
        <v>0.21</v>
      </c>
      <c r="G33" s="136">
        <f t="shared" si="6"/>
        <v>1.6043956043956045</v>
      </c>
      <c r="H33" s="136">
        <f t="shared" si="3"/>
        <v>0.105</v>
      </c>
      <c r="I33" s="136">
        <f t="shared" si="7"/>
        <v>0</v>
      </c>
      <c r="J33" s="136">
        <f t="shared" si="4"/>
        <v>0</v>
      </c>
      <c r="K33" s="135">
        <f t="shared" si="8"/>
        <v>0.054240000000000003</v>
      </c>
      <c r="L33" s="147"/>
    </row>
    <row r="36" spans="1:2" ht="11.25">
      <c r="A36" s="133"/>
      <c r="B36" s="141" t="s">
        <v>195</v>
      </c>
    </row>
    <row r="37" spans="1:12" ht="11.25">
      <c r="A37" s="133"/>
      <c r="B37" s="133" t="s">
        <v>196</v>
      </c>
      <c r="C37" s="133"/>
      <c r="E37" s="133"/>
      <c r="F37" s="133"/>
      <c r="G37" s="133"/>
      <c r="H37" s="133"/>
      <c r="I37" s="133"/>
      <c r="J37" s="133"/>
      <c r="K37" s="133"/>
      <c r="L37" s="150"/>
    </row>
    <row r="38" spans="1:12" ht="11.2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50"/>
    </row>
    <row r="39" spans="1:12" ht="11.25">
      <c r="A39" s="151"/>
      <c r="B39" s="144"/>
      <c r="C39" s="133"/>
      <c r="D39" s="133"/>
      <c r="E39" s="133"/>
      <c r="F39" s="133"/>
      <c r="G39" s="133"/>
      <c r="H39" s="133"/>
      <c r="I39" s="133"/>
      <c r="J39" s="133"/>
      <c r="K39" s="133"/>
      <c r="L39" s="150"/>
    </row>
    <row r="40" spans="1:12" ht="11.25">
      <c r="A40" s="151"/>
      <c r="B40" s="144"/>
      <c r="C40" s="133"/>
      <c r="D40" s="133"/>
      <c r="E40" s="133"/>
      <c r="F40" s="133"/>
      <c r="G40" s="133"/>
      <c r="H40" s="133"/>
      <c r="I40" s="133"/>
      <c r="J40" s="133"/>
      <c r="K40" s="133"/>
      <c r="L40" s="150"/>
    </row>
    <row r="41" spans="1:12" ht="11.25">
      <c r="A41" s="151"/>
      <c r="B41" s="144"/>
      <c r="C41" s="133"/>
      <c r="D41" s="133"/>
      <c r="E41" s="133"/>
      <c r="F41" s="133"/>
      <c r="G41" s="133"/>
      <c r="H41" s="133"/>
      <c r="I41" s="133"/>
      <c r="J41" s="133"/>
      <c r="K41" s="133"/>
      <c r="L41" s="150"/>
    </row>
    <row r="42" spans="1:12" ht="11.25">
      <c r="A42" s="151"/>
      <c r="B42" s="144"/>
      <c r="C42" s="133"/>
      <c r="D42" s="133"/>
      <c r="E42" s="133"/>
      <c r="F42" s="133"/>
      <c r="G42" s="133"/>
      <c r="H42" s="133"/>
      <c r="I42" s="133"/>
      <c r="J42" s="133"/>
      <c r="K42" s="133"/>
      <c r="L42" s="150"/>
    </row>
    <row r="43" spans="1:12" ht="11.25">
      <c r="A43" s="151"/>
      <c r="B43" s="144"/>
      <c r="C43" s="133"/>
      <c r="D43" s="133"/>
      <c r="E43" s="133"/>
      <c r="F43" s="133"/>
      <c r="G43" s="133"/>
      <c r="H43" s="133"/>
      <c r="I43" s="133"/>
      <c r="J43" s="133"/>
      <c r="K43" s="133"/>
      <c r="L43" s="150"/>
    </row>
    <row r="44" spans="1:12" ht="11.25">
      <c r="A44" s="151"/>
      <c r="B44" s="144"/>
      <c r="C44" s="133"/>
      <c r="D44" s="133"/>
      <c r="E44" s="133"/>
      <c r="F44" s="133"/>
      <c r="G44" s="133"/>
      <c r="H44" s="133"/>
      <c r="I44" s="133"/>
      <c r="J44" s="133"/>
      <c r="K44" s="133"/>
      <c r="L44" s="150"/>
    </row>
    <row r="45" spans="1:13" ht="11.25">
      <c r="A45" s="151"/>
      <c r="B45" s="145"/>
      <c r="C45" s="133"/>
      <c r="D45" s="133"/>
      <c r="E45" s="133"/>
      <c r="F45" s="133"/>
      <c r="G45" s="133"/>
      <c r="H45" s="133"/>
      <c r="I45" s="133"/>
      <c r="J45" s="133"/>
      <c r="K45" s="133"/>
      <c r="L45" s="150"/>
      <c r="M45" s="133"/>
    </row>
    <row r="46" spans="1:13" ht="11.25">
      <c r="A46" s="151"/>
      <c r="B46" s="144"/>
      <c r="C46" s="133"/>
      <c r="D46" s="133"/>
      <c r="E46" s="133"/>
      <c r="F46" s="133"/>
      <c r="G46" s="133"/>
      <c r="H46" s="133"/>
      <c r="I46" s="133"/>
      <c r="J46" s="133"/>
      <c r="K46" s="133"/>
      <c r="L46" s="150"/>
      <c r="M46" s="133"/>
    </row>
    <row r="47" spans="1:13" ht="11.25">
      <c r="A47" s="151"/>
      <c r="B47" s="144"/>
      <c r="C47" s="133"/>
      <c r="D47" s="133"/>
      <c r="E47" s="133"/>
      <c r="F47" s="133"/>
      <c r="G47" s="133"/>
      <c r="H47" s="133"/>
      <c r="I47" s="133"/>
      <c r="J47" s="133"/>
      <c r="K47" s="133"/>
      <c r="L47" s="150"/>
      <c r="M47" s="133"/>
    </row>
    <row r="48" spans="1:13" ht="11.25">
      <c r="A48" s="151"/>
      <c r="B48" s="144"/>
      <c r="C48" s="133"/>
      <c r="D48" s="133"/>
      <c r="E48" s="133"/>
      <c r="F48" s="133"/>
      <c r="G48" s="133"/>
      <c r="H48" s="133"/>
      <c r="I48" s="133"/>
      <c r="J48" s="133"/>
      <c r="K48" s="133"/>
      <c r="L48" s="150"/>
      <c r="M48" s="133"/>
    </row>
    <row r="49" spans="1:13" ht="11.2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50"/>
      <c r="M49" s="133"/>
    </row>
    <row r="50" spans="1:13" ht="11.2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50"/>
      <c r="M50" s="133"/>
    </row>
    <row r="51" ht="11.25">
      <c r="A51" s="133"/>
    </row>
    <row r="52" ht="11.25">
      <c r="A52" s="133"/>
    </row>
    <row r="53" ht="11.25">
      <c r="A53" s="133"/>
    </row>
    <row r="54" ht="11.25">
      <c r="A54" s="133"/>
    </row>
  </sheetData>
  <mergeCells count="5">
    <mergeCell ref="A19:B19"/>
    <mergeCell ref="F5:H5"/>
    <mergeCell ref="F21:H21"/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workbookViewId="0" topLeftCell="A46">
      <selection activeCell="A1" sqref="A1:E1"/>
    </sheetView>
  </sheetViews>
  <sheetFormatPr defaultColWidth="9.140625" defaultRowHeight="12.75"/>
  <cols>
    <col min="1" max="1" width="10.421875" style="32" bestFit="1" customWidth="1"/>
    <col min="2" max="2" width="34.28125" style="1" bestFit="1" customWidth="1"/>
    <col min="3" max="5" width="9.140625" style="50" customWidth="1"/>
    <col min="6" max="16384" width="9.140625" style="1" customWidth="1"/>
  </cols>
  <sheetData>
    <row r="1" spans="1:5" ht="13.5">
      <c r="A1" s="229" t="s">
        <v>235</v>
      </c>
      <c r="B1" s="229"/>
      <c r="C1" s="229"/>
      <c r="D1" s="229"/>
      <c r="E1" s="229"/>
    </row>
    <row r="2" spans="1:5" ht="10.5">
      <c r="A2" s="230" t="s">
        <v>199</v>
      </c>
      <c r="B2" s="230"/>
      <c r="C2" s="230"/>
      <c r="D2" s="230"/>
      <c r="E2" s="230"/>
    </row>
    <row r="3" spans="1:5" ht="10.5">
      <c r="A3" s="230" t="s">
        <v>216</v>
      </c>
      <c r="B3" s="230"/>
      <c r="C3" s="230"/>
      <c r="D3" s="230"/>
      <c r="E3" s="230"/>
    </row>
    <row r="4" spans="1:5" ht="10.5">
      <c r="A4" s="37"/>
      <c r="B4" s="38" t="s">
        <v>148</v>
      </c>
      <c r="C4" s="39" t="s">
        <v>149</v>
      </c>
      <c r="D4" s="40" t="s">
        <v>150</v>
      </c>
      <c r="E4" s="41" t="s">
        <v>197</v>
      </c>
    </row>
    <row r="5" spans="1:5" ht="10.5">
      <c r="A5" s="42" t="s">
        <v>2</v>
      </c>
      <c r="B5" s="43" t="s">
        <v>3</v>
      </c>
      <c r="C5" s="239" t="s">
        <v>158</v>
      </c>
      <c r="D5" s="240"/>
      <c r="E5" s="228"/>
    </row>
    <row r="6" spans="1:5" ht="10.5">
      <c r="A6" s="37" t="s">
        <v>151</v>
      </c>
      <c r="B6" s="3" t="s">
        <v>152</v>
      </c>
      <c r="C6" s="45">
        <v>93.7</v>
      </c>
      <c r="D6" s="45">
        <f>46.7+47</f>
        <v>93.7</v>
      </c>
      <c r="E6" s="46"/>
    </row>
    <row r="7" spans="1:5" ht="10.5">
      <c r="A7" s="200">
        <v>311</v>
      </c>
      <c r="B7" s="15" t="s">
        <v>14</v>
      </c>
      <c r="C7" s="45">
        <v>84.9</v>
      </c>
      <c r="D7" s="45"/>
      <c r="E7" s="46"/>
    </row>
    <row r="8" spans="1:5" ht="10.5">
      <c r="A8" s="10" t="s">
        <v>16</v>
      </c>
      <c r="B8" s="15" t="s">
        <v>17</v>
      </c>
      <c r="C8" s="45">
        <v>14.1</v>
      </c>
      <c r="D8" s="45"/>
      <c r="E8" s="46"/>
    </row>
    <row r="9" spans="1:5" ht="10.5">
      <c r="A9" s="10" t="s">
        <v>18</v>
      </c>
      <c r="B9" s="15" t="s">
        <v>19</v>
      </c>
      <c r="C9" s="51" t="s">
        <v>159</v>
      </c>
      <c r="D9" s="45"/>
      <c r="E9" s="46"/>
    </row>
    <row r="10" spans="1:5" ht="10.5">
      <c r="A10" s="201" t="s">
        <v>20</v>
      </c>
      <c r="B10" s="15" t="s">
        <v>21</v>
      </c>
      <c r="C10" s="45">
        <v>8.8</v>
      </c>
      <c r="D10" s="45"/>
      <c r="E10" s="46"/>
    </row>
    <row r="11" spans="1:5" ht="10.5">
      <c r="A11" s="10" t="s">
        <v>22</v>
      </c>
      <c r="B11" s="15" t="s">
        <v>23</v>
      </c>
      <c r="C11" s="51" t="s">
        <v>159</v>
      </c>
      <c r="D11" s="45"/>
      <c r="E11" s="46"/>
    </row>
    <row r="12" spans="1:5" ht="10.5">
      <c r="A12" s="10" t="s">
        <v>24</v>
      </c>
      <c r="B12" s="15" t="s">
        <v>25</v>
      </c>
      <c r="C12" s="51" t="s">
        <v>159</v>
      </c>
      <c r="D12" s="45"/>
      <c r="E12" s="46"/>
    </row>
    <row r="13" spans="1:5" ht="10.5">
      <c r="A13" s="10" t="s">
        <v>161</v>
      </c>
      <c r="B13" s="15" t="s">
        <v>160</v>
      </c>
      <c r="C13" s="45">
        <f>+C14+C15+C16</f>
        <v>39.099999999999994</v>
      </c>
      <c r="D13" s="45">
        <v>39.1</v>
      </c>
      <c r="E13" s="46"/>
    </row>
    <row r="14" spans="1:5" ht="10.5">
      <c r="A14" s="200">
        <v>313</v>
      </c>
      <c r="B14" s="15" t="s">
        <v>153</v>
      </c>
      <c r="C14" s="45">
        <v>28.5</v>
      </c>
      <c r="D14" s="45"/>
      <c r="E14" s="46"/>
    </row>
    <row r="15" spans="1:5" ht="10.5">
      <c r="A15" s="200">
        <v>314</v>
      </c>
      <c r="B15" s="15" t="s">
        <v>154</v>
      </c>
      <c r="C15" s="45">
        <v>5.3</v>
      </c>
      <c r="D15" s="45"/>
      <c r="E15" s="46"/>
    </row>
    <row r="16" spans="1:5" ht="10.5">
      <c r="A16" s="200">
        <v>315</v>
      </c>
      <c r="B16" s="15" t="s">
        <v>32</v>
      </c>
      <c r="C16" s="45">
        <v>5.3</v>
      </c>
      <c r="D16" s="45"/>
      <c r="E16" s="46"/>
    </row>
    <row r="17" spans="1:5" ht="10.5">
      <c r="A17" s="200">
        <v>316</v>
      </c>
      <c r="B17" s="15" t="s">
        <v>155</v>
      </c>
      <c r="C17" s="45">
        <v>0.8</v>
      </c>
      <c r="D17" s="45"/>
      <c r="E17" s="46"/>
    </row>
    <row r="18" spans="1:5" ht="10.5">
      <c r="A18" s="44" t="s">
        <v>156</v>
      </c>
      <c r="B18" s="15" t="s">
        <v>157</v>
      </c>
      <c r="C18" s="45">
        <f>+C19+C23</f>
        <v>138.1</v>
      </c>
      <c r="D18" s="45">
        <f>72.9+61.7</f>
        <v>134.60000000000002</v>
      </c>
      <c r="E18" s="46"/>
    </row>
    <row r="19" spans="1:5" ht="10.5">
      <c r="A19" s="200">
        <v>321</v>
      </c>
      <c r="B19" s="15" t="s">
        <v>163</v>
      </c>
      <c r="C19" s="45">
        <v>19.5</v>
      </c>
      <c r="D19" s="45"/>
      <c r="E19" s="46"/>
    </row>
    <row r="20" spans="1:5" ht="10.5">
      <c r="A20" s="10" t="s">
        <v>37</v>
      </c>
      <c r="B20" s="15" t="s">
        <v>38</v>
      </c>
      <c r="C20" s="45">
        <v>5</v>
      </c>
      <c r="D20" s="45"/>
      <c r="E20" s="46"/>
    </row>
    <row r="21" spans="1:5" ht="10.5">
      <c r="A21" s="10" t="s">
        <v>39</v>
      </c>
      <c r="B21" s="15" t="s">
        <v>40</v>
      </c>
      <c r="C21" s="45">
        <v>10</v>
      </c>
      <c r="D21" s="45"/>
      <c r="E21" s="46"/>
    </row>
    <row r="22" spans="1:5" ht="10.5">
      <c r="A22" s="10" t="s">
        <v>41</v>
      </c>
      <c r="B22" s="15" t="s">
        <v>42</v>
      </c>
      <c r="C22" s="45">
        <v>3.8</v>
      </c>
      <c r="D22" s="45"/>
      <c r="E22" s="46"/>
    </row>
    <row r="23" spans="1:5" ht="10.5">
      <c r="A23" s="200" t="s">
        <v>43</v>
      </c>
      <c r="B23" s="15" t="s">
        <v>44</v>
      </c>
      <c r="C23" s="45">
        <v>118.6</v>
      </c>
      <c r="D23" s="45"/>
      <c r="E23" s="46">
        <v>118.4</v>
      </c>
    </row>
    <row r="24" spans="1:5" ht="10.5">
      <c r="A24" s="10" t="s">
        <v>45</v>
      </c>
      <c r="B24" s="15" t="s">
        <v>46</v>
      </c>
      <c r="C24" s="45">
        <v>3.6</v>
      </c>
      <c r="D24" s="45"/>
      <c r="E24" s="46"/>
    </row>
    <row r="25" spans="1:5" ht="10.5">
      <c r="A25" s="10" t="s">
        <v>48</v>
      </c>
      <c r="B25" s="15" t="s">
        <v>49</v>
      </c>
      <c r="C25" s="45">
        <v>49.6</v>
      </c>
      <c r="D25" s="45"/>
      <c r="E25" s="46"/>
    </row>
    <row r="26" spans="1:5" ht="10.5">
      <c r="A26" s="10" t="s">
        <v>50</v>
      </c>
      <c r="B26" s="15" t="s">
        <v>51</v>
      </c>
      <c r="C26" s="45">
        <v>14.8</v>
      </c>
      <c r="D26" s="45"/>
      <c r="E26" s="46"/>
    </row>
    <row r="27" spans="1:5" ht="10.5">
      <c r="A27" s="10" t="s">
        <v>52</v>
      </c>
      <c r="B27" s="15" t="s">
        <v>53</v>
      </c>
      <c r="C27" s="45">
        <v>35.3</v>
      </c>
      <c r="D27" s="45"/>
      <c r="E27" s="46"/>
    </row>
    <row r="28" spans="1:5" ht="10.5">
      <c r="A28" s="200" t="s">
        <v>54</v>
      </c>
      <c r="B28" s="15" t="s">
        <v>55</v>
      </c>
      <c r="C28" s="45">
        <v>12</v>
      </c>
      <c r="D28" s="45"/>
      <c r="E28" s="46"/>
    </row>
    <row r="29" spans="1:5" ht="10.5">
      <c r="A29" s="200" t="s">
        <v>56</v>
      </c>
      <c r="B29" s="15" t="s">
        <v>57</v>
      </c>
      <c r="C29" s="45">
        <v>320.4</v>
      </c>
      <c r="D29" s="45">
        <v>363</v>
      </c>
      <c r="E29" s="46">
        <v>320.4</v>
      </c>
    </row>
    <row r="30" spans="1:5" ht="10.5">
      <c r="A30" s="44" t="s">
        <v>58</v>
      </c>
      <c r="B30" s="15" t="s">
        <v>59</v>
      </c>
      <c r="C30" s="45">
        <v>308.7</v>
      </c>
      <c r="D30" s="45"/>
      <c r="E30" s="46"/>
    </row>
    <row r="31" spans="1:5" ht="10.5">
      <c r="A31" s="44" t="s">
        <v>60</v>
      </c>
      <c r="B31" s="15" t="s">
        <v>61</v>
      </c>
      <c r="C31" s="51" t="s">
        <v>159</v>
      </c>
      <c r="D31" s="45"/>
      <c r="E31" s="46"/>
    </row>
    <row r="32" spans="1:5" ht="10.5">
      <c r="A32" s="200" t="s">
        <v>62</v>
      </c>
      <c r="B32" s="15" t="s">
        <v>63</v>
      </c>
      <c r="C32" s="45">
        <v>319.2</v>
      </c>
      <c r="D32" s="45">
        <f>185+117+0.29*90</f>
        <v>328.1</v>
      </c>
      <c r="E32" s="46">
        <v>319.2</v>
      </c>
    </row>
    <row r="33" spans="1:5" ht="10.5">
      <c r="A33" s="44" t="s">
        <v>64</v>
      </c>
      <c r="B33" s="15" t="s">
        <v>65</v>
      </c>
      <c r="C33" s="51" t="s">
        <v>159</v>
      </c>
      <c r="D33" s="45"/>
      <c r="E33" s="46"/>
    </row>
    <row r="34" spans="1:5" ht="10.5">
      <c r="A34" s="44" t="s">
        <v>66</v>
      </c>
      <c r="B34" s="15" t="s">
        <v>67</v>
      </c>
      <c r="C34" s="198">
        <v>24.9</v>
      </c>
      <c r="D34" s="45"/>
      <c r="E34" s="46"/>
    </row>
    <row r="35" spans="1:5" ht="10.5">
      <c r="A35" s="44" t="s">
        <v>68</v>
      </c>
      <c r="B35" s="15" t="s">
        <v>69</v>
      </c>
      <c r="C35" s="51" t="s">
        <v>159</v>
      </c>
      <c r="D35" s="45"/>
      <c r="E35" s="46"/>
    </row>
    <row r="36" spans="1:5" ht="10.5">
      <c r="A36" s="44" t="s">
        <v>70</v>
      </c>
      <c r="B36" s="15" t="s">
        <v>71</v>
      </c>
      <c r="C36" s="51" t="s">
        <v>159</v>
      </c>
      <c r="D36" s="45"/>
      <c r="E36" s="46"/>
    </row>
    <row r="37" spans="1:5" ht="10.5">
      <c r="A37" s="44" t="s">
        <v>72</v>
      </c>
      <c r="B37" s="15" t="s">
        <v>73</v>
      </c>
      <c r="C37" s="51" t="s">
        <v>159</v>
      </c>
      <c r="D37" s="45"/>
      <c r="E37" s="46"/>
    </row>
    <row r="38" spans="1:5" ht="10.5">
      <c r="A38" s="44" t="s">
        <v>74</v>
      </c>
      <c r="B38" s="15" t="s">
        <v>75</v>
      </c>
      <c r="C38" s="45">
        <v>4.4</v>
      </c>
      <c r="D38" s="45"/>
      <c r="E38" s="46"/>
    </row>
    <row r="39" spans="1:5" ht="10.5">
      <c r="A39" s="44" t="s">
        <v>76</v>
      </c>
      <c r="B39" s="15" t="s">
        <v>77</v>
      </c>
      <c r="C39" s="51" t="s">
        <v>159</v>
      </c>
      <c r="D39" s="45"/>
      <c r="E39" s="46"/>
    </row>
    <row r="40" spans="1:5" ht="10.5">
      <c r="A40" s="44" t="s">
        <v>78</v>
      </c>
      <c r="B40" s="15" t="s">
        <v>79</v>
      </c>
      <c r="C40" s="45">
        <v>70.9</v>
      </c>
      <c r="D40" s="45"/>
      <c r="E40" s="46"/>
    </row>
    <row r="41" spans="1:5" ht="10.5">
      <c r="A41" s="44" t="s">
        <v>80</v>
      </c>
      <c r="B41" s="15" t="s">
        <v>81</v>
      </c>
      <c r="C41" s="45">
        <v>48.2</v>
      </c>
      <c r="D41" s="45"/>
      <c r="E41" s="46"/>
    </row>
    <row r="42" spans="1:5" ht="10.5">
      <c r="A42" s="44" t="s">
        <v>82</v>
      </c>
      <c r="B42" s="15" t="s">
        <v>83</v>
      </c>
      <c r="C42" s="51" t="s">
        <v>159</v>
      </c>
      <c r="D42" s="45"/>
      <c r="E42" s="46"/>
    </row>
    <row r="43" spans="1:5" ht="10.5">
      <c r="A43" s="44" t="s">
        <v>84</v>
      </c>
      <c r="B43" s="15" t="s">
        <v>85</v>
      </c>
      <c r="C43" s="51" t="s">
        <v>159</v>
      </c>
      <c r="D43" s="45"/>
      <c r="E43" s="46"/>
    </row>
    <row r="44" spans="1:5" ht="10.5">
      <c r="A44" s="44" t="s">
        <v>86</v>
      </c>
      <c r="B44" s="15" t="s">
        <v>87</v>
      </c>
      <c r="C44" s="45">
        <v>15</v>
      </c>
      <c r="D44" s="45"/>
      <c r="E44" s="46"/>
    </row>
    <row r="45" spans="1:5" ht="10.5">
      <c r="A45" s="44" t="s">
        <v>88</v>
      </c>
      <c r="B45" s="15" t="s">
        <v>89</v>
      </c>
      <c r="C45" s="51" t="s">
        <v>159</v>
      </c>
      <c r="D45" s="45"/>
      <c r="E45" s="46"/>
    </row>
    <row r="46" spans="1:5" ht="10.5">
      <c r="A46" s="44" t="s">
        <v>90</v>
      </c>
      <c r="B46" s="15" t="s">
        <v>91</v>
      </c>
      <c r="C46" s="51" t="s">
        <v>159</v>
      </c>
      <c r="D46" s="45"/>
      <c r="E46" s="46"/>
    </row>
    <row r="47" spans="1:5" ht="10.5">
      <c r="A47" s="44" t="s">
        <v>92</v>
      </c>
      <c r="B47" s="15" t="s">
        <v>93</v>
      </c>
      <c r="C47" s="51" t="s">
        <v>159</v>
      </c>
      <c r="D47" s="45"/>
      <c r="E47" s="46"/>
    </row>
    <row r="48" spans="1:5" ht="10.5">
      <c r="A48" s="44" t="s">
        <v>94</v>
      </c>
      <c r="B48" s="15" t="s">
        <v>95</v>
      </c>
      <c r="C48" s="51" t="s">
        <v>159</v>
      </c>
      <c r="D48" s="45"/>
      <c r="E48" s="46"/>
    </row>
    <row r="49" spans="1:5" ht="10.5">
      <c r="A49" s="200" t="s">
        <v>96</v>
      </c>
      <c r="B49" s="15" t="s">
        <v>97</v>
      </c>
      <c r="C49" s="45">
        <v>42.9</v>
      </c>
      <c r="D49" s="45">
        <v>47.2</v>
      </c>
      <c r="E49" s="46"/>
    </row>
    <row r="50" spans="1:5" ht="10.5">
      <c r="A50" s="200" t="s">
        <v>98</v>
      </c>
      <c r="B50" s="15" t="s">
        <v>99</v>
      </c>
      <c r="C50" s="45">
        <v>82.9</v>
      </c>
      <c r="D50" s="45"/>
      <c r="E50" s="46">
        <v>82.9</v>
      </c>
    </row>
    <row r="51" spans="1:5" ht="10.5">
      <c r="A51" s="44" t="s">
        <v>100</v>
      </c>
      <c r="B51" s="15" t="s">
        <v>101</v>
      </c>
      <c r="C51" s="51" t="s">
        <v>159</v>
      </c>
      <c r="D51" s="45"/>
      <c r="E51" s="46"/>
    </row>
    <row r="52" spans="1:5" ht="10.5">
      <c r="A52" s="44" t="s">
        <v>102</v>
      </c>
      <c r="B52" s="15" t="s">
        <v>103</v>
      </c>
      <c r="C52" s="51" t="s">
        <v>159</v>
      </c>
      <c r="D52" s="45"/>
      <c r="E52" s="46"/>
    </row>
    <row r="53" spans="1:5" ht="10.5">
      <c r="A53" s="44" t="s">
        <v>104</v>
      </c>
      <c r="B53" s="15" t="s">
        <v>105</v>
      </c>
      <c r="C53" s="45">
        <v>32.6</v>
      </c>
      <c r="D53" s="148">
        <f>27.6+8.4</f>
        <v>36</v>
      </c>
      <c r="E53" s="46"/>
    </row>
    <row r="54" spans="1:5" ht="10.5">
      <c r="A54" s="44" t="s">
        <v>106</v>
      </c>
      <c r="B54" s="15" t="s">
        <v>107</v>
      </c>
      <c r="C54" s="51" t="s">
        <v>159</v>
      </c>
      <c r="D54" s="51" t="s">
        <v>159</v>
      </c>
      <c r="E54" s="52" t="s">
        <v>159</v>
      </c>
    </row>
    <row r="55" spans="1:5" ht="10.5">
      <c r="A55" s="44" t="s">
        <v>108</v>
      </c>
      <c r="B55" s="15" t="s">
        <v>109</v>
      </c>
      <c r="C55" s="51" t="s">
        <v>159</v>
      </c>
      <c r="D55" s="45"/>
      <c r="E55" s="46"/>
    </row>
    <row r="56" spans="1:5" ht="10.5">
      <c r="A56" s="200" t="s">
        <v>110</v>
      </c>
      <c r="B56" s="15" t="s">
        <v>111</v>
      </c>
      <c r="C56" s="45">
        <v>251</v>
      </c>
      <c r="D56" s="45"/>
      <c r="E56" s="46">
        <v>251</v>
      </c>
    </row>
    <row r="57" spans="1:5" ht="10.5">
      <c r="A57" s="44" t="s">
        <v>112</v>
      </c>
      <c r="B57" s="15" t="s">
        <v>113</v>
      </c>
      <c r="C57" s="45">
        <v>144.4</v>
      </c>
      <c r="D57" s="45">
        <v>131</v>
      </c>
      <c r="E57" s="46"/>
    </row>
    <row r="58" spans="1:5" ht="10.5">
      <c r="A58" s="44" t="s">
        <v>114</v>
      </c>
      <c r="B58" s="15" t="s">
        <v>115</v>
      </c>
      <c r="C58" s="51" t="s">
        <v>159</v>
      </c>
      <c r="D58" s="45"/>
      <c r="E58" s="46"/>
    </row>
    <row r="59" spans="1:5" ht="10.5">
      <c r="A59" s="44" t="s">
        <v>116</v>
      </c>
      <c r="B59" s="15" t="s">
        <v>117</v>
      </c>
      <c r="C59" s="45">
        <v>5</v>
      </c>
      <c r="D59" s="45"/>
      <c r="E59" s="46"/>
    </row>
    <row r="60" spans="1:5" ht="10.5">
      <c r="A60" s="44" t="s">
        <v>118</v>
      </c>
      <c r="B60" s="15" t="s">
        <v>119</v>
      </c>
      <c r="C60" s="45">
        <v>58.3</v>
      </c>
      <c r="D60" s="45">
        <f>11+48.1+14.8-7.4</f>
        <v>66.5</v>
      </c>
      <c r="E60" s="46"/>
    </row>
    <row r="61" spans="1:5" ht="10.5">
      <c r="A61" s="44" t="s">
        <v>120</v>
      </c>
      <c r="B61" s="15" t="s">
        <v>121</v>
      </c>
      <c r="C61" s="51" t="s">
        <v>159</v>
      </c>
      <c r="D61" s="45"/>
      <c r="E61" s="46"/>
    </row>
    <row r="62" spans="1:5" ht="10.5">
      <c r="A62" s="44" t="s">
        <v>122</v>
      </c>
      <c r="B62" s="15" t="s">
        <v>123</v>
      </c>
      <c r="C62" s="45">
        <v>21.9</v>
      </c>
      <c r="D62" s="45">
        <f>10.9+14.2</f>
        <v>25.1</v>
      </c>
      <c r="E62" s="46"/>
    </row>
    <row r="63" spans="1:5" ht="10.5">
      <c r="A63" s="44" t="s">
        <v>124</v>
      </c>
      <c r="B63" s="15" t="s">
        <v>125</v>
      </c>
      <c r="C63" s="198">
        <v>5.5</v>
      </c>
      <c r="D63" s="45"/>
      <c r="E63" s="46"/>
    </row>
    <row r="64" spans="1:5" ht="10.5">
      <c r="A64" s="44" t="s">
        <v>126</v>
      </c>
      <c r="B64" s="15" t="s">
        <v>127</v>
      </c>
      <c r="C64" s="45">
        <v>1.7</v>
      </c>
      <c r="D64" s="45"/>
      <c r="E64" s="46"/>
    </row>
    <row r="65" spans="1:5" ht="10.5">
      <c r="A65" s="44" t="s">
        <v>128</v>
      </c>
      <c r="B65" s="15" t="s">
        <v>129</v>
      </c>
      <c r="C65" s="45">
        <v>1.5</v>
      </c>
      <c r="D65" s="45"/>
      <c r="E65" s="46"/>
    </row>
    <row r="66" spans="1:5" ht="10.5">
      <c r="A66" s="200" t="s">
        <v>130</v>
      </c>
      <c r="B66" s="15" t="s">
        <v>131</v>
      </c>
      <c r="C66" s="45">
        <v>46.7</v>
      </c>
      <c r="D66" s="45"/>
      <c r="E66" s="46"/>
    </row>
    <row r="67" spans="1:5" ht="10.5">
      <c r="A67" s="200" t="s">
        <v>132</v>
      </c>
      <c r="B67" s="15" t="s">
        <v>133</v>
      </c>
      <c r="C67" s="45">
        <v>24.5</v>
      </c>
      <c r="D67" s="45"/>
      <c r="E67" s="46"/>
    </row>
    <row r="68" spans="1:5" ht="10.5">
      <c r="A68" s="200" t="s">
        <v>134</v>
      </c>
      <c r="B68" s="15" t="s">
        <v>135</v>
      </c>
      <c r="C68" s="45">
        <v>29.9</v>
      </c>
      <c r="D68" s="45"/>
      <c r="E68" s="46"/>
    </row>
    <row r="69" spans="1:5" ht="10.5">
      <c r="A69" s="44" t="s">
        <v>136</v>
      </c>
      <c r="B69" s="15" t="s">
        <v>137</v>
      </c>
      <c r="C69" s="45">
        <v>9.9</v>
      </c>
      <c r="D69" s="45">
        <v>9.1</v>
      </c>
      <c r="E69" s="46"/>
    </row>
    <row r="70" spans="1:5" ht="10.5">
      <c r="A70" s="200" t="s">
        <v>138</v>
      </c>
      <c r="B70" s="15" t="s">
        <v>139</v>
      </c>
      <c r="C70" s="45">
        <v>14</v>
      </c>
      <c r="D70" s="45"/>
      <c r="E70" s="46"/>
    </row>
    <row r="71" spans="1:5" ht="10.5">
      <c r="A71" s="200" t="s">
        <v>140</v>
      </c>
      <c r="B71" s="15" t="s">
        <v>141</v>
      </c>
      <c r="C71" s="45">
        <v>53.2</v>
      </c>
      <c r="D71" s="45"/>
      <c r="E71" s="46"/>
    </row>
    <row r="72" spans="1:5" ht="10.5">
      <c r="A72" s="44" t="s">
        <v>142</v>
      </c>
      <c r="B72" s="15" t="s">
        <v>143</v>
      </c>
      <c r="C72" s="51" t="s">
        <v>159</v>
      </c>
      <c r="D72" s="45"/>
      <c r="E72" s="46"/>
    </row>
    <row r="73" spans="1:5" ht="10.5">
      <c r="A73" s="200" t="s">
        <v>144</v>
      </c>
      <c r="B73" s="15" t="s">
        <v>145</v>
      </c>
      <c r="C73" s="45">
        <v>7.8</v>
      </c>
      <c r="D73" s="45"/>
      <c r="E73" s="46"/>
    </row>
    <row r="74" spans="1:5" ht="10.5">
      <c r="A74" s="202" t="s">
        <v>146</v>
      </c>
      <c r="B74" s="18" t="s">
        <v>147</v>
      </c>
      <c r="C74" s="48">
        <v>10</v>
      </c>
      <c r="D74" s="48"/>
      <c r="E74" s="49"/>
    </row>
    <row r="75" spans="2:5" ht="10.5">
      <c r="B75" s="199" t="s">
        <v>166</v>
      </c>
      <c r="C75" s="117">
        <f>+C7+C10+C14+C15+C16+C17+C19+C23+C28+C29+C32+C49+C50+C56+C66+C67+C68+C70+C71+C73+C74</f>
        <v>1486.2</v>
      </c>
      <c r="E75" s="117">
        <v>1485.8</v>
      </c>
    </row>
    <row r="76" ht="10.5">
      <c r="D76" s="149"/>
    </row>
    <row r="77" ht="10.5">
      <c r="B77" s="1" t="s">
        <v>233</v>
      </c>
    </row>
  </sheetData>
  <mergeCells count="4">
    <mergeCell ref="C5:E5"/>
    <mergeCell ref="A1:E1"/>
    <mergeCell ref="A2:E2"/>
    <mergeCell ref="A3:E3"/>
  </mergeCells>
  <printOptions horizontalCentered="1" verticalCentered="1"/>
  <pageMargins left="0.75" right="0.75" top="0.27" bottom="0.25" header="0.25" footer="0.25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61">
      <selection activeCell="A2" sqref="A2:L2"/>
    </sheetView>
  </sheetViews>
  <sheetFormatPr defaultColWidth="18.8515625" defaultRowHeight="12.75"/>
  <cols>
    <col min="1" max="1" width="13.8515625" style="1" customWidth="1"/>
    <col min="2" max="2" width="33.28125" style="1" bestFit="1" customWidth="1"/>
    <col min="3" max="11" width="9.28125" style="1" customWidth="1"/>
    <col min="12" max="12" width="9.28125" style="1" hidden="1" customWidth="1"/>
    <col min="13" max="16384" width="18.8515625" style="1" customWidth="1"/>
  </cols>
  <sheetData>
    <row r="1" spans="1:11" ht="10.5">
      <c r="A1" s="231" t="s">
        <v>232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2" ht="12.75" customHeight="1">
      <c r="A2" s="232" t="s">
        <v>220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0.5">
      <c r="A3" s="2"/>
      <c r="B3" s="3"/>
      <c r="C3" s="4" t="s">
        <v>0</v>
      </c>
      <c r="D3" s="5"/>
      <c r="E3" s="6" t="s">
        <v>0</v>
      </c>
      <c r="F3" s="6" t="s">
        <v>0</v>
      </c>
      <c r="G3" s="5"/>
      <c r="H3" s="6" t="s">
        <v>0</v>
      </c>
      <c r="I3" s="6" t="s">
        <v>0</v>
      </c>
      <c r="J3" s="5"/>
      <c r="K3" s="7" t="s">
        <v>0</v>
      </c>
      <c r="L3" s="7" t="s">
        <v>1</v>
      </c>
    </row>
    <row r="4" spans="1:12" ht="10.5">
      <c r="A4" s="8" t="s">
        <v>2</v>
      </c>
      <c r="B4" s="9" t="s">
        <v>3</v>
      </c>
      <c r="C4" s="10"/>
      <c r="D4" s="11" t="s">
        <v>4</v>
      </c>
      <c r="E4" s="11" t="s">
        <v>5</v>
      </c>
      <c r="F4" s="11" t="s">
        <v>6</v>
      </c>
      <c r="G4" s="14" t="s">
        <v>9</v>
      </c>
      <c r="H4" s="11" t="s">
        <v>7</v>
      </c>
      <c r="I4" s="12"/>
      <c r="J4" s="11" t="s">
        <v>8</v>
      </c>
      <c r="K4" s="13" t="s">
        <v>0</v>
      </c>
      <c r="L4" s="13" t="s">
        <v>170</v>
      </c>
    </row>
    <row r="5" spans="1:12" ht="10.5">
      <c r="A5" s="10"/>
      <c r="B5" s="15"/>
      <c r="C5" s="16" t="s">
        <v>166</v>
      </c>
      <c r="D5" s="11" t="s">
        <v>174</v>
      </c>
      <c r="E5" s="11" t="s">
        <v>10</v>
      </c>
      <c r="F5" s="11" t="s">
        <v>10</v>
      </c>
      <c r="G5" s="11" t="s">
        <v>172</v>
      </c>
      <c r="H5" s="11" t="s">
        <v>175</v>
      </c>
      <c r="I5" s="11" t="s">
        <v>11</v>
      </c>
      <c r="J5" s="11" t="s">
        <v>12</v>
      </c>
      <c r="K5" s="13" t="s">
        <v>176</v>
      </c>
      <c r="L5" s="13" t="s">
        <v>171</v>
      </c>
    </row>
    <row r="6" spans="1:12" ht="10.5">
      <c r="A6" s="17"/>
      <c r="B6" s="18"/>
      <c r="C6" s="17"/>
      <c r="D6" s="19"/>
      <c r="E6" s="19"/>
      <c r="F6" s="19"/>
      <c r="G6" s="19"/>
      <c r="H6" s="19"/>
      <c r="I6" s="19"/>
      <c r="J6" s="19"/>
      <c r="K6" s="18"/>
      <c r="L6" s="18"/>
    </row>
    <row r="7" spans="1:12" ht="10.5">
      <c r="A7" s="10"/>
      <c r="B7" s="12"/>
      <c r="C7" s="2"/>
      <c r="D7" s="5"/>
      <c r="E7" s="5"/>
      <c r="F7" s="5"/>
      <c r="G7" s="5"/>
      <c r="H7" s="5"/>
      <c r="I7" s="5"/>
      <c r="J7" s="5"/>
      <c r="K7" s="3"/>
      <c r="L7" s="3"/>
    </row>
    <row r="8" spans="1:12" ht="11.25">
      <c r="A8" s="23" t="s">
        <v>13</v>
      </c>
      <c r="B8" s="54" t="s">
        <v>14</v>
      </c>
      <c r="C8" s="20">
        <v>1044</v>
      </c>
      <c r="D8" s="21">
        <v>213</v>
      </c>
      <c r="E8" s="21">
        <v>14</v>
      </c>
      <c r="F8" s="21">
        <v>16</v>
      </c>
      <c r="G8" s="21">
        <v>568</v>
      </c>
      <c r="H8" s="21">
        <v>5</v>
      </c>
      <c r="I8" s="21">
        <v>129</v>
      </c>
      <c r="J8" s="21">
        <v>2</v>
      </c>
      <c r="K8" s="22">
        <v>97</v>
      </c>
      <c r="L8" s="22">
        <v>0</v>
      </c>
    </row>
    <row r="9" spans="1:12" ht="11.25">
      <c r="A9" s="23" t="s">
        <v>16</v>
      </c>
      <c r="B9" s="54" t="s">
        <v>17</v>
      </c>
      <c r="C9" s="20">
        <v>173</v>
      </c>
      <c r="D9" s="21">
        <v>24</v>
      </c>
      <c r="E9" s="21" t="s">
        <v>15</v>
      </c>
      <c r="F9" s="21" t="s">
        <v>15</v>
      </c>
      <c r="G9" s="21">
        <v>77</v>
      </c>
      <c r="H9" s="21" t="s">
        <v>15</v>
      </c>
      <c r="I9" s="21">
        <v>65</v>
      </c>
      <c r="J9" s="21">
        <v>0</v>
      </c>
      <c r="K9" s="22">
        <v>6</v>
      </c>
      <c r="L9" s="22">
        <v>0</v>
      </c>
    </row>
    <row r="10" spans="1:12" ht="11.25">
      <c r="A10" s="23" t="s">
        <v>18</v>
      </c>
      <c r="B10" s="54" t="s">
        <v>19</v>
      </c>
      <c r="C10" s="10"/>
      <c r="D10" s="12"/>
      <c r="E10" s="12"/>
      <c r="F10" s="12"/>
      <c r="G10" s="12"/>
      <c r="H10" s="12"/>
      <c r="I10" s="12"/>
      <c r="J10" s="12"/>
      <c r="K10" s="15"/>
      <c r="L10" s="15"/>
    </row>
    <row r="11" spans="1:12" ht="11.25">
      <c r="A11" s="23" t="s">
        <v>20</v>
      </c>
      <c r="B11" s="54" t="s">
        <v>21</v>
      </c>
      <c r="C11" s="20">
        <v>108</v>
      </c>
      <c r="D11" s="21">
        <v>24</v>
      </c>
      <c r="E11" s="21">
        <v>2</v>
      </c>
      <c r="F11" s="21">
        <v>2</v>
      </c>
      <c r="G11" s="21">
        <v>45</v>
      </c>
      <c r="H11" s="21">
        <v>1</v>
      </c>
      <c r="I11" s="21">
        <v>29</v>
      </c>
      <c r="J11" s="21">
        <v>0</v>
      </c>
      <c r="K11" s="22">
        <v>4</v>
      </c>
      <c r="L11" s="22">
        <v>0</v>
      </c>
    </row>
    <row r="12" spans="1:12" ht="11.25">
      <c r="A12" s="23" t="s">
        <v>22</v>
      </c>
      <c r="B12" s="54" t="s">
        <v>23</v>
      </c>
      <c r="C12" s="10"/>
      <c r="D12" s="12"/>
      <c r="E12" s="12"/>
      <c r="F12" s="12"/>
      <c r="G12" s="12"/>
      <c r="H12" s="12"/>
      <c r="I12" s="12"/>
      <c r="J12" s="12"/>
      <c r="K12" s="15"/>
      <c r="L12" s="15"/>
    </row>
    <row r="13" spans="1:12" ht="11.25">
      <c r="A13" s="23" t="s">
        <v>24</v>
      </c>
      <c r="B13" s="54" t="s">
        <v>25</v>
      </c>
      <c r="C13" s="10"/>
      <c r="D13" s="12"/>
      <c r="E13" s="12"/>
      <c r="F13" s="12"/>
      <c r="G13" s="12"/>
      <c r="H13" s="12"/>
      <c r="I13" s="12"/>
      <c r="J13" s="12"/>
      <c r="K13" s="15"/>
      <c r="L13" s="15"/>
    </row>
    <row r="14" spans="1:12" ht="11.25">
      <c r="A14" s="23" t="s">
        <v>161</v>
      </c>
      <c r="B14" s="54" t="s">
        <v>160</v>
      </c>
      <c r="C14" s="10"/>
      <c r="D14" s="12"/>
      <c r="E14" s="12"/>
      <c r="F14" s="12"/>
      <c r="G14" s="12"/>
      <c r="H14" s="12"/>
      <c r="I14" s="12"/>
      <c r="J14" s="12"/>
      <c r="K14" s="15"/>
      <c r="L14" s="15"/>
    </row>
    <row r="15" spans="1:12" ht="11.25">
      <c r="A15" s="23" t="s">
        <v>26</v>
      </c>
      <c r="B15" s="54" t="s">
        <v>27</v>
      </c>
      <c r="C15" s="20">
        <v>256</v>
      </c>
      <c r="D15" s="21">
        <v>102</v>
      </c>
      <c r="E15" s="21">
        <v>12</v>
      </c>
      <c r="F15" s="21">
        <v>4</v>
      </c>
      <c r="G15" s="21">
        <v>103</v>
      </c>
      <c r="H15" s="21">
        <v>2</v>
      </c>
      <c r="I15" s="21">
        <v>20</v>
      </c>
      <c r="J15" s="21">
        <v>0</v>
      </c>
      <c r="K15" s="22">
        <v>14</v>
      </c>
      <c r="L15" s="22">
        <v>0</v>
      </c>
    </row>
    <row r="16" spans="1:12" ht="11.25">
      <c r="A16" s="25" t="s">
        <v>28</v>
      </c>
      <c r="B16" s="65" t="s">
        <v>29</v>
      </c>
      <c r="C16" s="20">
        <v>50</v>
      </c>
      <c r="D16" s="21">
        <v>18</v>
      </c>
      <c r="E16" s="21">
        <v>3</v>
      </c>
      <c r="F16" s="21" t="s">
        <v>30</v>
      </c>
      <c r="G16" s="21">
        <v>25</v>
      </c>
      <c r="H16" s="21" t="s">
        <v>15</v>
      </c>
      <c r="I16" s="21">
        <v>3</v>
      </c>
      <c r="J16" s="21">
        <v>0</v>
      </c>
      <c r="K16" s="22" t="s">
        <v>15</v>
      </c>
      <c r="L16" s="22">
        <v>0</v>
      </c>
    </row>
    <row r="17" spans="1:12" ht="11.25">
      <c r="A17" s="23" t="s">
        <v>31</v>
      </c>
      <c r="B17" s="54" t="s">
        <v>32</v>
      </c>
      <c r="C17" s="20">
        <v>48</v>
      </c>
      <c r="D17" s="21">
        <v>18</v>
      </c>
      <c r="E17" s="21">
        <v>2</v>
      </c>
      <c r="F17" s="21">
        <v>1</v>
      </c>
      <c r="G17" s="21">
        <v>23</v>
      </c>
      <c r="H17" s="21">
        <v>1</v>
      </c>
      <c r="I17" s="21">
        <v>1</v>
      </c>
      <c r="J17" s="21">
        <v>0</v>
      </c>
      <c r="K17" s="22">
        <v>4</v>
      </c>
      <c r="L17" s="22">
        <v>0</v>
      </c>
    </row>
    <row r="18" spans="1:12" ht="11.25">
      <c r="A18" s="23" t="s">
        <v>33</v>
      </c>
      <c r="B18" s="54" t="s">
        <v>34</v>
      </c>
      <c r="C18" s="20">
        <v>8</v>
      </c>
      <c r="D18" s="21">
        <v>3</v>
      </c>
      <c r="E18" s="21" t="s">
        <v>15</v>
      </c>
      <c r="F18" s="21" t="s">
        <v>15</v>
      </c>
      <c r="G18" s="21">
        <v>4</v>
      </c>
      <c r="H18" s="21" t="s">
        <v>15</v>
      </c>
      <c r="I18" s="21">
        <v>0</v>
      </c>
      <c r="J18" s="21">
        <v>0</v>
      </c>
      <c r="K18" s="22" t="s">
        <v>15</v>
      </c>
      <c r="L18" s="22">
        <v>0</v>
      </c>
    </row>
    <row r="19" spans="1:12" ht="11.25">
      <c r="A19" s="23" t="s">
        <v>156</v>
      </c>
      <c r="B19" s="54" t="s">
        <v>157</v>
      </c>
      <c r="C19" s="20">
        <f>+C20+C24</f>
        <v>3256</v>
      </c>
      <c r="D19" s="21">
        <f aca="true" t="shared" si="0" ref="D19:K19">+D20+D24</f>
        <v>312</v>
      </c>
      <c r="E19" s="21">
        <f t="shared" si="0"/>
        <v>152</v>
      </c>
      <c r="F19" s="21">
        <f t="shared" si="0"/>
        <v>22</v>
      </c>
      <c r="G19" s="21">
        <f t="shared" si="0"/>
        <v>659</v>
      </c>
      <c r="H19" s="21">
        <f t="shared" si="0"/>
        <v>9</v>
      </c>
      <c r="I19" s="21">
        <f t="shared" si="0"/>
        <v>279</v>
      </c>
      <c r="J19" s="21">
        <f t="shared" si="0"/>
        <v>0</v>
      </c>
      <c r="K19" s="22">
        <f t="shared" si="0"/>
        <v>1821</v>
      </c>
      <c r="L19" s="22"/>
    </row>
    <row r="20" spans="1:12" ht="11.25">
      <c r="A20" s="23" t="s">
        <v>35</v>
      </c>
      <c r="B20" s="54" t="s">
        <v>36</v>
      </c>
      <c r="C20" s="20">
        <v>509</v>
      </c>
      <c r="D20" s="21">
        <v>72</v>
      </c>
      <c r="E20" s="21">
        <v>1</v>
      </c>
      <c r="F20" s="21">
        <v>13</v>
      </c>
      <c r="G20" s="21">
        <v>73</v>
      </c>
      <c r="H20" s="21">
        <v>4</v>
      </c>
      <c r="I20" s="21">
        <v>2</v>
      </c>
      <c r="J20" s="21">
        <v>0</v>
      </c>
      <c r="K20" s="22">
        <v>343</v>
      </c>
      <c r="L20" s="22">
        <v>0</v>
      </c>
    </row>
    <row r="21" spans="1:12" ht="11.25">
      <c r="A21" s="23" t="s">
        <v>37</v>
      </c>
      <c r="B21" s="54" t="s">
        <v>38</v>
      </c>
      <c r="C21" s="20">
        <v>166</v>
      </c>
      <c r="D21" s="21">
        <v>20</v>
      </c>
      <c r="E21" s="21">
        <v>1</v>
      </c>
      <c r="F21" s="21">
        <v>6</v>
      </c>
      <c r="G21" s="21">
        <v>9</v>
      </c>
      <c r="H21" s="21" t="s">
        <v>15</v>
      </c>
      <c r="I21" s="21">
        <v>0</v>
      </c>
      <c r="J21" s="21">
        <v>0</v>
      </c>
      <c r="K21" s="22">
        <v>130</v>
      </c>
      <c r="L21" s="22">
        <v>0</v>
      </c>
    </row>
    <row r="22" spans="1:12" ht="11.25">
      <c r="A22" s="23" t="s">
        <v>39</v>
      </c>
      <c r="B22" s="54" t="s">
        <v>40</v>
      </c>
      <c r="C22" s="20">
        <v>223</v>
      </c>
      <c r="D22" s="21">
        <v>36</v>
      </c>
      <c r="E22" s="21" t="s">
        <v>15</v>
      </c>
      <c r="F22" s="21">
        <v>2</v>
      </c>
      <c r="G22" s="21">
        <v>48</v>
      </c>
      <c r="H22" s="21">
        <v>2</v>
      </c>
      <c r="I22" s="21">
        <v>2</v>
      </c>
      <c r="J22" s="21">
        <v>0</v>
      </c>
      <c r="K22" s="22">
        <v>132</v>
      </c>
      <c r="L22" s="22">
        <v>0</v>
      </c>
    </row>
    <row r="23" spans="1:12" ht="11.25">
      <c r="A23" s="23" t="s">
        <v>41</v>
      </c>
      <c r="B23" s="54" t="s">
        <v>42</v>
      </c>
      <c r="C23" s="20">
        <v>106</v>
      </c>
      <c r="D23" s="21">
        <v>15</v>
      </c>
      <c r="E23" s="21" t="s">
        <v>15</v>
      </c>
      <c r="F23" s="21">
        <v>2</v>
      </c>
      <c r="G23" s="21">
        <v>12</v>
      </c>
      <c r="H23" s="21">
        <v>1</v>
      </c>
      <c r="I23" s="21" t="s">
        <v>15</v>
      </c>
      <c r="J23" s="21">
        <v>0</v>
      </c>
      <c r="K23" s="22">
        <v>75</v>
      </c>
      <c r="L23" s="22">
        <v>0</v>
      </c>
    </row>
    <row r="24" spans="1:12" ht="11.25">
      <c r="A24" s="23" t="s">
        <v>43</v>
      </c>
      <c r="B24" s="54" t="s">
        <v>44</v>
      </c>
      <c r="C24" s="20">
        <v>2747</v>
      </c>
      <c r="D24" s="21">
        <v>240</v>
      </c>
      <c r="E24" s="21">
        <v>151</v>
      </c>
      <c r="F24" s="21">
        <v>9</v>
      </c>
      <c r="G24" s="21">
        <v>586</v>
      </c>
      <c r="H24" s="21">
        <v>5</v>
      </c>
      <c r="I24" s="21">
        <v>277</v>
      </c>
      <c r="J24" s="21">
        <v>0</v>
      </c>
      <c r="K24" s="22">
        <v>1478</v>
      </c>
      <c r="L24" s="22">
        <v>0</v>
      </c>
    </row>
    <row r="25" spans="1:12" ht="11.25">
      <c r="A25" s="23" t="s">
        <v>45</v>
      </c>
      <c r="B25" s="54" t="s">
        <v>46</v>
      </c>
      <c r="C25" s="20">
        <v>198</v>
      </c>
      <c r="D25" s="21">
        <v>5</v>
      </c>
      <c r="E25" s="21">
        <v>9</v>
      </c>
      <c r="F25" s="21">
        <v>2</v>
      </c>
      <c r="G25" s="21">
        <v>24</v>
      </c>
      <c r="H25" s="21" t="s">
        <v>15</v>
      </c>
      <c r="I25" s="21">
        <v>4</v>
      </c>
      <c r="J25" s="21">
        <v>0</v>
      </c>
      <c r="K25" s="22">
        <v>154</v>
      </c>
      <c r="L25" s="22">
        <v>0</v>
      </c>
    </row>
    <row r="26" spans="1:12" ht="11.25">
      <c r="A26" s="23" t="s">
        <v>48</v>
      </c>
      <c r="B26" s="54" t="s">
        <v>49</v>
      </c>
      <c r="C26" s="20">
        <v>1154</v>
      </c>
      <c r="D26" s="21">
        <v>87</v>
      </c>
      <c r="E26" s="21">
        <v>85</v>
      </c>
      <c r="F26" s="21">
        <v>4</v>
      </c>
      <c r="G26" s="21">
        <v>231</v>
      </c>
      <c r="H26" s="21">
        <v>2</v>
      </c>
      <c r="I26" s="21">
        <v>131</v>
      </c>
      <c r="J26" s="21">
        <v>0</v>
      </c>
      <c r="K26" s="22">
        <v>614</v>
      </c>
      <c r="L26" s="22">
        <v>0</v>
      </c>
    </row>
    <row r="27" spans="1:12" ht="11.25">
      <c r="A27" s="23" t="s">
        <v>50</v>
      </c>
      <c r="B27" s="54" t="s">
        <v>51</v>
      </c>
      <c r="C27" s="20">
        <v>175</v>
      </c>
      <c r="D27" s="21">
        <v>50</v>
      </c>
      <c r="E27" s="21">
        <v>11</v>
      </c>
      <c r="F27" s="21" t="s">
        <v>15</v>
      </c>
      <c r="G27" s="21">
        <v>23</v>
      </c>
      <c r="H27" s="21">
        <v>1</v>
      </c>
      <c r="I27" s="21">
        <v>31</v>
      </c>
      <c r="J27" s="21">
        <v>0</v>
      </c>
      <c r="K27" s="22">
        <v>59</v>
      </c>
      <c r="L27" s="22">
        <v>0</v>
      </c>
    </row>
    <row r="28" spans="1:12" ht="11.25">
      <c r="A28" s="23" t="s">
        <v>52</v>
      </c>
      <c r="B28" s="54" t="s">
        <v>53</v>
      </c>
      <c r="C28" s="20">
        <v>984</v>
      </c>
      <c r="D28" s="21">
        <v>51</v>
      </c>
      <c r="E28" s="21">
        <v>40</v>
      </c>
      <c r="F28" s="21">
        <v>2</v>
      </c>
      <c r="G28" s="21">
        <v>227</v>
      </c>
      <c r="H28" s="21">
        <v>1</v>
      </c>
      <c r="I28" s="21">
        <v>98</v>
      </c>
      <c r="J28" s="21">
        <v>0</v>
      </c>
      <c r="K28" s="22">
        <v>564</v>
      </c>
      <c r="L28" s="22">
        <v>0</v>
      </c>
    </row>
    <row r="29" spans="1:12" ht="11.25">
      <c r="A29" s="23" t="s">
        <v>54</v>
      </c>
      <c r="B29" s="54" t="s">
        <v>55</v>
      </c>
      <c r="C29" s="20">
        <v>98</v>
      </c>
      <c r="D29" s="21">
        <v>51</v>
      </c>
      <c r="E29" s="21" t="s">
        <v>15</v>
      </c>
      <c r="F29" s="21" t="s">
        <v>15</v>
      </c>
      <c r="G29" s="21">
        <v>44</v>
      </c>
      <c r="H29" s="21">
        <v>1</v>
      </c>
      <c r="I29" s="21" t="s">
        <v>15</v>
      </c>
      <c r="J29" s="21">
        <v>0</v>
      </c>
      <c r="K29" s="22">
        <v>2</v>
      </c>
      <c r="L29" s="22">
        <v>0</v>
      </c>
    </row>
    <row r="30" spans="1:12" ht="11.25">
      <c r="A30" s="23" t="s">
        <v>56</v>
      </c>
      <c r="B30" s="54" t="s">
        <v>57</v>
      </c>
      <c r="C30" s="20">
        <v>7320</v>
      </c>
      <c r="D30" s="21">
        <v>126</v>
      </c>
      <c r="E30" s="21">
        <v>72</v>
      </c>
      <c r="F30" s="21">
        <v>28</v>
      </c>
      <c r="G30" s="21">
        <v>1007</v>
      </c>
      <c r="H30" s="21">
        <v>39</v>
      </c>
      <c r="I30" s="21">
        <v>12</v>
      </c>
      <c r="J30" s="21">
        <v>0</v>
      </c>
      <c r="K30" s="22">
        <v>6082</v>
      </c>
      <c r="L30" s="22">
        <v>47</v>
      </c>
    </row>
    <row r="31" spans="1:12" ht="11.25">
      <c r="A31" s="23" t="s">
        <v>58</v>
      </c>
      <c r="B31" s="54" t="s">
        <v>59</v>
      </c>
      <c r="C31" s="20">
        <v>7130</v>
      </c>
      <c r="D31" s="21">
        <v>118</v>
      </c>
      <c r="E31" s="21">
        <v>70</v>
      </c>
      <c r="F31" s="21">
        <v>4</v>
      </c>
      <c r="G31" s="21">
        <v>948</v>
      </c>
      <c r="H31" s="21">
        <v>33</v>
      </c>
      <c r="I31" s="21" t="s">
        <v>15</v>
      </c>
      <c r="J31" s="21">
        <v>0</v>
      </c>
      <c r="K31" s="22">
        <v>5957</v>
      </c>
      <c r="L31" s="22">
        <v>0</v>
      </c>
    </row>
    <row r="32" spans="1:12" ht="11.25">
      <c r="A32" s="23" t="s">
        <v>60</v>
      </c>
      <c r="B32" s="54" t="s">
        <v>61</v>
      </c>
      <c r="C32" s="10"/>
      <c r="D32" s="12"/>
      <c r="E32" s="12"/>
      <c r="F32" s="12"/>
      <c r="G32" s="12"/>
      <c r="H32" s="12"/>
      <c r="I32" s="12"/>
      <c r="J32" s="12"/>
      <c r="K32" s="15"/>
      <c r="L32" s="15"/>
    </row>
    <row r="33" spans="1:12" ht="11.25">
      <c r="A33" s="23" t="s">
        <v>62</v>
      </c>
      <c r="B33" s="54" t="s">
        <v>63</v>
      </c>
      <c r="C33" s="20">
        <v>6064</v>
      </c>
      <c r="D33" s="21">
        <v>577</v>
      </c>
      <c r="E33" s="21">
        <v>98</v>
      </c>
      <c r="F33" s="21">
        <v>10</v>
      </c>
      <c r="G33" s="21">
        <v>2709</v>
      </c>
      <c r="H33" s="21">
        <v>1796</v>
      </c>
      <c r="I33" s="21">
        <v>300</v>
      </c>
      <c r="J33" s="21">
        <v>7</v>
      </c>
      <c r="K33" s="22">
        <v>677</v>
      </c>
      <c r="L33" s="22">
        <v>110</v>
      </c>
    </row>
    <row r="34" spans="1:12" ht="11.25">
      <c r="A34" s="23" t="s">
        <v>64</v>
      </c>
      <c r="B34" s="54" t="s">
        <v>65</v>
      </c>
      <c r="C34" s="20">
        <v>723</v>
      </c>
      <c r="D34" s="21">
        <v>8</v>
      </c>
      <c r="E34" s="21">
        <v>0</v>
      </c>
      <c r="F34" s="21" t="s">
        <v>15</v>
      </c>
      <c r="G34" s="21" t="s">
        <v>47</v>
      </c>
      <c r="H34" s="21">
        <v>222</v>
      </c>
      <c r="I34" s="21" t="s">
        <v>47</v>
      </c>
      <c r="J34" s="21">
        <v>0</v>
      </c>
      <c r="K34" s="22" t="s">
        <v>47</v>
      </c>
      <c r="L34" s="22">
        <v>54</v>
      </c>
    </row>
    <row r="35" spans="1:12" ht="11.25">
      <c r="A35" s="23" t="s">
        <v>66</v>
      </c>
      <c r="B35" s="54" t="s">
        <v>67</v>
      </c>
      <c r="C35" s="20">
        <v>226</v>
      </c>
      <c r="D35" s="21">
        <v>111</v>
      </c>
      <c r="E35" s="21">
        <v>0</v>
      </c>
      <c r="F35" s="21" t="s">
        <v>15</v>
      </c>
      <c r="G35" s="21">
        <v>105</v>
      </c>
      <c r="H35" s="21" t="s">
        <v>15</v>
      </c>
      <c r="I35" s="21" t="s">
        <v>15</v>
      </c>
      <c r="J35" s="21">
        <v>1</v>
      </c>
      <c r="K35" s="22">
        <v>9</v>
      </c>
      <c r="L35" s="22">
        <v>0</v>
      </c>
    </row>
    <row r="36" spans="1:12" ht="11.25">
      <c r="A36" s="23" t="s">
        <v>68</v>
      </c>
      <c r="B36" s="54" t="s">
        <v>69</v>
      </c>
      <c r="C36" s="20">
        <v>172</v>
      </c>
      <c r="D36" s="21">
        <v>50</v>
      </c>
      <c r="E36" s="21" t="s">
        <v>15</v>
      </c>
      <c r="F36" s="21" t="s">
        <v>47</v>
      </c>
      <c r="G36" s="21" t="s">
        <v>47</v>
      </c>
      <c r="H36" s="21" t="s">
        <v>47</v>
      </c>
      <c r="I36" s="21" t="s">
        <v>47</v>
      </c>
      <c r="J36" s="21">
        <v>0</v>
      </c>
      <c r="K36" s="22" t="s">
        <v>47</v>
      </c>
      <c r="L36" s="22">
        <v>0</v>
      </c>
    </row>
    <row r="37" spans="1:12" ht="11.25">
      <c r="A37" s="23" t="s">
        <v>70</v>
      </c>
      <c r="B37" s="54" t="s">
        <v>71</v>
      </c>
      <c r="C37" s="10"/>
      <c r="D37" s="12"/>
      <c r="E37" s="12"/>
      <c r="F37" s="12"/>
      <c r="G37" s="12"/>
      <c r="H37" s="12"/>
      <c r="I37" s="12"/>
      <c r="J37" s="12"/>
      <c r="K37" s="15"/>
      <c r="L37" s="15"/>
    </row>
    <row r="38" spans="1:12" ht="11.25">
      <c r="A38" s="23" t="s">
        <v>72</v>
      </c>
      <c r="B38" s="54" t="s">
        <v>73</v>
      </c>
      <c r="C38" s="20">
        <v>293</v>
      </c>
      <c r="D38" s="21">
        <v>107</v>
      </c>
      <c r="E38" s="21">
        <v>2</v>
      </c>
      <c r="F38" s="21" t="s">
        <v>47</v>
      </c>
      <c r="G38" s="21">
        <v>102</v>
      </c>
      <c r="H38" s="21" t="s">
        <v>47</v>
      </c>
      <c r="I38" s="21" t="s">
        <v>47</v>
      </c>
      <c r="J38" s="21">
        <v>3</v>
      </c>
      <c r="K38" s="22">
        <v>22</v>
      </c>
      <c r="L38" s="22">
        <v>0</v>
      </c>
    </row>
    <row r="39" spans="1:12" ht="11.25">
      <c r="A39" s="23" t="s">
        <v>74</v>
      </c>
      <c r="B39" s="54" t="s">
        <v>75</v>
      </c>
      <c r="C39" s="20">
        <v>94</v>
      </c>
      <c r="D39" s="21">
        <v>7</v>
      </c>
      <c r="E39" s="21">
        <v>3</v>
      </c>
      <c r="F39" s="21">
        <v>1</v>
      </c>
      <c r="G39" s="21">
        <v>50</v>
      </c>
      <c r="H39" s="21">
        <v>2</v>
      </c>
      <c r="I39" s="21">
        <v>5</v>
      </c>
      <c r="J39" s="21">
        <v>0</v>
      </c>
      <c r="K39" s="22">
        <v>26</v>
      </c>
      <c r="L39" s="22" t="s">
        <v>15</v>
      </c>
    </row>
    <row r="40" spans="1:12" ht="11.25">
      <c r="A40" s="23" t="s">
        <v>76</v>
      </c>
      <c r="B40" s="54" t="s">
        <v>77</v>
      </c>
      <c r="C40" s="10"/>
      <c r="D40" s="12"/>
      <c r="E40" s="12"/>
      <c r="F40" s="12"/>
      <c r="G40" s="12"/>
      <c r="H40" s="12"/>
      <c r="I40" s="12"/>
      <c r="J40" s="12"/>
      <c r="K40" s="15"/>
      <c r="L40" s="15"/>
    </row>
    <row r="41" spans="1:12" ht="11.25">
      <c r="A41" s="23" t="s">
        <v>78</v>
      </c>
      <c r="B41" s="54" t="s">
        <v>79</v>
      </c>
      <c r="C41" s="20">
        <v>1740</v>
      </c>
      <c r="D41" s="21">
        <v>73</v>
      </c>
      <c r="E41" s="21">
        <v>3</v>
      </c>
      <c r="F41" s="21" t="s">
        <v>47</v>
      </c>
      <c r="G41" s="21">
        <v>782</v>
      </c>
      <c r="H41" s="21">
        <v>639</v>
      </c>
      <c r="I41" s="21" t="s">
        <v>47</v>
      </c>
      <c r="J41" s="21">
        <v>0</v>
      </c>
      <c r="K41" s="22">
        <v>201</v>
      </c>
      <c r="L41" s="22">
        <v>36</v>
      </c>
    </row>
    <row r="42" spans="1:12" ht="11.25">
      <c r="A42" s="23" t="s">
        <v>80</v>
      </c>
      <c r="B42" s="54" t="s">
        <v>81</v>
      </c>
      <c r="C42" s="20">
        <v>1067</v>
      </c>
      <c r="D42" s="21">
        <v>66</v>
      </c>
      <c r="E42" s="21">
        <v>2</v>
      </c>
      <c r="F42" s="21">
        <v>1</v>
      </c>
      <c r="G42" s="21">
        <v>259</v>
      </c>
      <c r="H42" s="21">
        <v>675</v>
      </c>
      <c r="I42" s="21">
        <v>17</v>
      </c>
      <c r="J42" s="21" t="s">
        <v>15</v>
      </c>
      <c r="K42" s="22">
        <v>60</v>
      </c>
      <c r="L42" s="22">
        <v>13</v>
      </c>
    </row>
    <row r="43" spans="1:12" ht="11.25">
      <c r="A43" s="23" t="s">
        <v>82</v>
      </c>
      <c r="B43" s="54" t="s">
        <v>83</v>
      </c>
      <c r="C43" s="20">
        <v>307</v>
      </c>
      <c r="D43" s="21">
        <v>8</v>
      </c>
      <c r="E43" s="21" t="s">
        <v>15</v>
      </c>
      <c r="F43" s="21" t="s">
        <v>15</v>
      </c>
      <c r="G43" s="21" t="s">
        <v>47</v>
      </c>
      <c r="H43" s="21">
        <v>238</v>
      </c>
      <c r="I43" s="21" t="s">
        <v>47</v>
      </c>
      <c r="J43" s="21">
        <v>0</v>
      </c>
      <c r="K43" s="22">
        <v>12</v>
      </c>
      <c r="L43" s="22">
        <v>7</v>
      </c>
    </row>
    <row r="44" spans="1:12" ht="11.25">
      <c r="A44" s="23" t="s">
        <v>84</v>
      </c>
      <c r="B44" s="54" t="s">
        <v>85</v>
      </c>
      <c r="C44" s="20">
        <v>107</v>
      </c>
      <c r="D44" s="21">
        <v>24</v>
      </c>
      <c r="E44" s="21">
        <v>4</v>
      </c>
      <c r="F44" s="21" t="s">
        <v>47</v>
      </c>
      <c r="G44" s="21" t="s">
        <v>47</v>
      </c>
      <c r="H44" s="21" t="s">
        <v>47</v>
      </c>
      <c r="I44" s="21">
        <v>26</v>
      </c>
      <c r="J44" s="21">
        <v>0</v>
      </c>
      <c r="K44" s="22">
        <v>7</v>
      </c>
      <c r="L44" s="22">
        <v>0</v>
      </c>
    </row>
    <row r="45" spans="1:12" ht="11.25">
      <c r="A45" s="23" t="s">
        <v>86</v>
      </c>
      <c r="B45" s="54" t="s">
        <v>87</v>
      </c>
      <c r="C45" s="20">
        <v>592</v>
      </c>
      <c r="D45" s="21">
        <v>13</v>
      </c>
      <c r="E45" s="21">
        <v>0</v>
      </c>
      <c r="F45" s="21" t="s">
        <v>15</v>
      </c>
      <c r="G45" s="21">
        <v>572</v>
      </c>
      <c r="H45" s="21" t="s">
        <v>15</v>
      </c>
      <c r="I45" s="21">
        <v>0</v>
      </c>
      <c r="J45" s="21">
        <v>0</v>
      </c>
      <c r="K45" s="22">
        <v>6</v>
      </c>
      <c r="L45" s="22">
        <v>0</v>
      </c>
    </row>
    <row r="46" spans="1:12" ht="11.25">
      <c r="A46" s="23" t="s">
        <v>88</v>
      </c>
      <c r="B46" s="54" t="s">
        <v>89</v>
      </c>
      <c r="C46" s="20">
        <v>90</v>
      </c>
      <c r="D46" s="21">
        <v>5</v>
      </c>
      <c r="E46" s="21">
        <v>1</v>
      </c>
      <c r="F46" s="21" t="s">
        <v>15</v>
      </c>
      <c r="G46" s="21" t="s">
        <v>47</v>
      </c>
      <c r="H46" s="21" t="s">
        <v>15</v>
      </c>
      <c r="I46" s="21" t="s">
        <v>47</v>
      </c>
      <c r="J46" s="21">
        <v>0</v>
      </c>
      <c r="K46" s="22">
        <v>22</v>
      </c>
      <c r="L46" s="22">
        <v>0</v>
      </c>
    </row>
    <row r="47" spans="1:12" ht="11.25">
      <c r="A47" s="23" t="s">
        <v>90</v>
      </c>
      <c r="B47" s="54" t="s">
        <v>91</v>
      </c>
      <c r="C47" s="10"/>
      <c r="D47" s="12"/>
      <c r="E47" s="12"/>
      <c r="F47" s="12"/>
      <c r="G47" s="12"/>
      <c r="H47" s="12"/>
      <c r="I47" s="12"/>
      <c r="J47" s="12"/>
      <c r="K47" s="15"/>
      <c r="L47" s="15"/>
    </row>
    <row r="48" spans="1:12" ht="11.25">
      <c r="A48" s="23" t="s">
        <v>92</v>
      </c>
      <c r="B48" s="54" t="s">
        <v>93</v>
      </c>
      <c r="C48" s="10"/>
      <c r="D48" s="12"/>
      <c r="E48" s="12"/>
      <c r="F48" s="12"/>
      <c r="G48" s="12"/>
      <c r="H48" s="12"/>
      <c r="I48" s="12"/>
      <c r="J48" s="12"/>
      <c r="K48" s="15"/>
      <c r="L48" s="15"/>
    </row>
    <row r="49" spans="1:12" ht="11.25">
      <c r="A49" s="23" t="s">
        <v>94</v>
      </c>
      <c r="B49" s="54" t="s">
        <v>95</v>
      </c>
      <c r="C49" s="10"/>
      <c r="D49" s="12"/>
      <c r="E49" s="12"/>
      <c r="F49" s="12"/>
      <c r="G49" s="12"/>
      <c r="H49" s="12"/>
      <c r="I49" s="12"/>
      <c r="J49" s="12"/>
      <c r="K49" s="15"/>
      <c r="L49" s="15"/>
    </row>
    <row r="50" spans="1:12" ht="11.25">
      <c r="A50" s="23" t="s">
        <v>96</v>
      </c>
      <c r="B50" s="54" t="s">
        <v>97</v>
      </c>
      <c r="C50" s="20">
        <v>328</v>
      </c>
      <c r="D50" s="21">
        <v>183</v>
      </c>
      <c r="E50" s="21">
        <v>5</v>
      </c>
      <c r="F50" s="21">
        <v>1</v>
      </c>
      <c r="G50" s="21">
        <v>126</v>
      </c>
      <c r="H50" s="21">
        <v>5</v>
      </c>
      <c r="I50" s="21">
        <v>3</v>
      </c>
      <c r="J50" s="21">
        <v>0</v>
      </c>
      <c r="K50" s="22">
        <v>5</v>
      </c>
      <c r="L50" s="22">
        <v>0</v>
      </c>
    </row>
    <row r="51" spans="1:12" ht="11.25">
      <c r="A51" s="23" t="s">
        <v>98</v>
      </c>
      <c r="B51" s="54" t="s">
        <v>99</v>
      </c>
      <c r="C51" s="20">
        <v>979</v>
      </c>
      <c r="D51" s="21">
        <v>134</v>
      </c>
      <c r="E51" s="21">
        <v>4</v>
      </c>
      <c r="F51" s="21">
        <v>17</v>
      </c>
      <c r="G51" s="21">
        <v>444</v>
      </c>
      <c r="H51" s="21">
        <v>3</v>
      </c>
      <c r="I51" s="21">
        <v>284</v>
      </c>
      <c r="J51" s="21">
        <v>11</v>
      </c>
      <c r="K51" s="22">
        <v>82</v>
      </c>
      <c r="L51" s="22">
        <v>0</v>
      </c>
    </row>
    <row r="52" spans="1:12" ht="11.25">
      <c r="A52" s="23" t="s">
        <v>100</v>
      </c>
      <c r="B52" s="54" t="s">
        <v>101</v>
      </c>
      <c r="C52" s="20"/>
      <c r="D52" s="21"/>
      <c r="E52" s="21"/>
      <c r="F52" s="21"/>
      <c r="G52" s="21"/>
      <c r="H52" s="21"/>
      <c r="I52" s="21"/>
      <c r="J52" s="21"/>
      <c r="K52" s="22"/>
      <c r="L52" s="22"/>
    </row>
    <row r="53" spans="1:12" ht="11.25">
      <c r="A53" s="23" t="s">
        <v>102</v>
      </c>
      <c r="B53" s="54" t="s">
        <v>103</v>
      </c>
      <c r="C53" s="10"/>
      <c r="D53" s="12"/>
      <c r="E53" s="12"/>
      <c r="F53" s="12"/>
      <c r="G53" s="12"/>
      <c r="H53" s="12"/>
      <c r="I53" s="12"/>
      <c r="J53" s="12"/>
      <c r="K53" s="15"/>
      <c r="L53" s="15"/>
    </row>
    <row r="54" spans="1:12" ht="11.25">
      <c r="A54" s="23" t="s">
        <v>104</v>
      </c>
      <c r="B54" s="54" t="s">
        <v>105</v>
      </c>
      <c r="C54" s="20">
        <v>355</v>
      </c>
      <c r="D54" s="21">
        <v>39</v>
      </c>
      <c r="E54" s="21" t="s">
        <v>15</v>
      </c>
      <c r="F54" s="21">
        <v>3</v>
      </c>
      <c r="G54" s="21">
        <v>27</v>
      </c>
      <c r="H54" s="21" t="s">
        <v>15</v>
      </c>
      <c r="I54" s="21">
        <v>225</v>
      </c>
      <c r="J54" s="21">
        <v>6</v>
      </c>
      <c r="K54" s="22">
        <v>55</v>
      </c>
      <c r="L54" s="22">
        <v>0</v>
      </c>
    </row>
    <row r="55" spans="1:12" ht="11.25">
      <c r="A55" s="23" t="s">
        <v>106</v>
      </c>
      <c r="B55" s="54" t="s">
        <v>107</v>
      </c>
      <c r="C55" s="10"/>
      <c r="D55" s="12"/>
      <c r="E55" s="12"/>
      <c r="F55" s="12"/>
      <c r="G55" s="12"/>
      <c r="H55" s="12"/>
      <c r="I55" s="12"/>
      <c r="J55" s="12"/>
      <c r="K55" s="15"/>
      <c r="L55" s="15"/>
    </row>
    <row r="56" spans="1:12" ht="11.25">
      <c r="A56" s="23" t="s">
        <v>108</v>
      </c>
      <c r="B56" s="54" t="s">
        <v>109</v>
      </c>
      <c r="C56" s="10"/>
      <c r="D56" s="12"/>
      <c r="E56" s="12"/>
      <c r="F56" s="12"/>
      <c r="G56" s="12"/>
      <c r="H56" s="12"/>
      <c r="I56" s="12"/>
      <c r="J56" s="12"/>
      <c r="K56" s="15"/>
      <c r="L56" s="15"/>
    </row>
    <row r="57" spans="1:12" ht="11.25">
      <c r="A57" s="23" t="s">
        <v>110</v>
      </c>
      <c r="B57" s="54" t="s">
        <v>111</v>
      </c>
      <c r="C57" s="20">
        <v>2560</v>
      </c>
      <c r="D57" s="21">
        <v>545</v>
      </c>
      <c r="E57" s="21">
        <v>30</v>
      </c>
      <c r="F57" s="21">
        <v>9</v>
      </c>
      <c r="G57" s="21">
        <v>933</v>
      </c>
      <c r="H57" s="21">
        <v>3</v>
      </c>
      <c r="I57" s="21">
        <v>715</v>
      </c>
      <c r="J57" s="21">
        <v>437</v>
      </c>
      <c r="K57" s="22">
        <v>82</v>
      </c>
      <c r="L57" s="22">
        <v>192</v>
      </c>
    </row>
    <row r="58" spans="1:12" ht="11.25">
      <c r="A58" s="23" t="s">
        <v>112</v>
      </c>
      <c r="B58" s="54" t="s">
        <v>113</v>
      </c>
      <c r="C58" s="20">
        <v>1584</v>
      </c>
      <c r="D58" s="21">
        <v>158</v>
      </c>
      <c r="E58" s="21">
        <v>29</v>
      </c>
      <c r="F58" s="21">
        <v>5</v>
      </c>
      <c r="G58" s="21">
        <v>494</v>
      </c>
      <c r="H58" s="21" t="s">
        <v>15</v>
      </c>
      <c r="I58" s="21">
        <v>680</v>
      </c>
      <c r="J58" s="21">
        <v>388</v>
      </c>
      <c r="K58" s="22">
        <v>22</v>
      </c>
      <c r="L58" s="22">
        <v>192</v>
      </c>
    </row>
    <row r="59" spans="1:12" ht="11.25">
      <c r="A59" s="23" t="s">
        <v>114</v>
      </c>
      <c r="B59" s="54" t="s">
        <v>115</v>
      </c>
      <c r="C59" s="20">
        <v>37</v>
      </c>
      <c r="D59" s="21" t="s">
        <v>47</v>
      </c>
      <c r="E59" s="21">
        <v>0</v>
      </c>
      <c r="F59" s="21" t="s">
        <v>15</v>
      </c>
      <c r="G59" s="21">
        <v>2</v>
      </c>
      <c r="H59" s="21" t="s">
        <v>15</v>
      </c>
      <c r="I59" s="21">
        <v>19</v>
      </c>
      <c r="J59" s="21" t="s">
        <v>15</v>
      </c>
      <c r="K59" s="22" t="s">
        <v>47</v>
      </c>
      <c r="L59" s="22">
        <v>0</v>
      </c>
    </row>
    <row r="60" spans="1:12" ht="11.25">
      <c r="A60" s="23" t="s">
        <v>116</v>
      </c>
      <c r="B60" s="54" t="s">
        <v>117</v>
      </c>
      <c r="C60" s="20">
        <v>55</v>
      </c>
      <c r="D60" s="21">
        <v>17</v>
      </c>
      <c r="E60" s="21" t="s">
        <v>15</v>
      </c>
      <c r="F60" s="21" t="s">
        <v>15</v>
      </c>
      <c r="G60" s="21">
        <v>34</v>
      </c>
      <c r="H60" s="21" t="s">
        <v>15</v>
      </c>
      <c r="I60" s="21" t="s">
        <v>15</v>
      </c>
      <c r="J60" s="21" t="s">
        <v>15</v>
      </c>
      <c r="K60" s="22">
        <v>3</v>
      </c>
      <c r="L60" s="22">
        <v>0</v>
      </c>
    </row>
    <row r="61" spans="1:12" ht="11.25">
      <c r="A61" s="23" t="s">
        <v>118</v>
      </c>
      <c r="B61" s="54" t="s">
        <v>119</v>
      </c>
      <c r="C61" s="20">
        <v>490</v>
      </c>
      <c r="D61" s="21">
        <v>246</v>
      </c>
      <c r="E61" s="21" t="s">
        <v>15</v>
      </c>
      <c r="F61" s="21">
        <v>1</v>
      </c>
      <c r="G61" s="21">
        <v>189</v>
      </c>
      <c r="H61" s="21">
        <v>1</v>
      </c>
      <c r="I61" s="21">
        <v>2</v>
      </c>
      <c r="J61" s="21">
        <v>2</v>
      </c>
      <c r="K61" s="22">
        <v>49</v>
      </c>
      <c r="L61" s="22">
        <v>0</v>
      </c>
    </row>
    <row r="62" spans="1:12" ht="11.25">
      <c r="A62" s="23" t="s">
        <v>120</v>
      </c>
      <c r="B62" s="54" t="s">
        <v>121</v>
      </c>
      <c r="C62" s="20"/>
      <c r="D62" s="21"/>
      <c r="E62" s="21"/>
      <c r="F62" s="21"/>
      <c r="G62" s="21"/>
      <c r="H62" s="21"/>
      <c r="I62" s="21"/>
      <c r="J62" s="21"/>
      <c r="K62" s="22"/>
      <c r="L62" s="22"/>
    </row>
    <row r="63" spans="1:12" ht="11.25">
      <c r="A63" s="23" t="s">
        <v>122</v>
      </c>
      <c r="B63" s="54" t="s">
        <v>123</v>
      </c>
      <c r="C63" s="20">
        <v>236</v>
      </c>
      <c r="D63" s="21">
        <v>63</v>
      </c>
      <c r="E63" s="21" t="s">
        <v>15</v>
      </c>
      <c r="F63" s="21">
        <v>1</v>
      </c>
      <c r="G63" s="21">
        <v>137</v>
      </c>
      <c r="H63" s="21">
        <v>2</v>
      </c>
      <c r="I63" s="21">
        <v>2</v>
      </c>
      <c r="J63" s="21">
        <v>30</v>
      </c>
      <c r="K63" s="22">
        <v>2</v>
      </c>
      <c r="L63" s="22">
        <v>0</v>
      </c>
    </row>
    <row r="64" spans="1:12" ht="11.25">
      <c r="A64" s="26" t="s">
        <v>124</v>
      </c>
      <c r="B64" s="54" t="s">
        <v>125</v>
      </c>
      <c r="C64" s="20">
        <v>103</v>
      </c>
      <c r="D64" s="21">
        <v>35</v>
      </c>
      <c r="E64" s="21" t="s">
        <v>15</v>
      </c>
      <c r="F64" s="21">
        <v>1</v>
      </c>
      <c r="G64" s="21">
        <v>33</v>
      </c>
      <c r="H64" s="21">
        <v>1</v>
      </c>
      <c r="I64" s="21">
        <v>1</v>
      </c>
      <c r="J64" s="21">
        <v>30</v>
      </c>
      <c r="K64" s="22">
        <v>1</v>
      </c>
      <c r="L64" s="22">
        <v>0</v>
      </c>
    </row>
    <row r="65" spans="1:12" ht="11.25">
      <c r="A65" s="26" t="s">
        <v>126</v>
      </c>
      <c r="B65" s="54" t="s">
        <v>127</v>
      </c>
      <c r="C65" s="20">
        <v>20</v>
      </c>
      <c r="D65" s="21">
        <v>5</v>
      </c>
      <c r="E65" s="21">
        <v>0</v>
      </c>
      <c r="F65" s="21" t="s">
        <v>15</v>
      </c>
      <c r="G65" s="21">
        <v>15</v>
      </c>
      <c r="H65" s="21" t="s">
        <v>15</v>
      </c>
      <c r="I65" s="21">
        <v>0</v>
      </c>
      <c r="J65" s="21">
        <v>0</v>
      </c>
      <c r="K65" s="22" t="s">
        <v>15</v>
      </c>
      <c r="L65" s="22">
        <v>0</v>
      </c>
    </row>
    <row r="66" spans="1:12" ht="11.25">
      <c r="A66" s="23" t="s">
        <v>128</v>
      </c>
      <c r="B66" s="54" t="s">
        <v>129</v>
      </c>
      <c r="C66" s="20">
        <v>19</v>
      </c>
      <c r="D66" s="21">
        <v>4</v>
      </c>
      <c r="E66" s="21">
        <v>0</v>
      </c>
      <c r="F66" s="21" t="s">
        <v>15</v>
      </c>
      <c r="G66" s="21">
        <v>14</v>
      </c>
      <c r="H66" s="21" t="s">
        <v>15</v>
      </c>
      <c r="I66" s="21">
        <v>0</v>
      </c>
      <c r="J66" s="21" t="s">
        <v>15</v>
      </c>
      <c r="K66" s="22" t="s">
        <v>15</v>
      </c>
      <c r="L66" s="22">
        <v>0</v>
      </c>
    </row>
    <row r="67" spans="1:12" ht="11.25">
      <c r="A67" s="23" t="s">
        <v>130</v>
      </c>
      <c r="B67" s="54" t="s">
        <v>131</v>
      </c>
      <c r="C67" s="20">
        <v>445</v>
      </c>
      <c r="D67" s="21">
        <v>176</v>
      </c>
      <c r="E67" s="21">
        <v>2</v>
      </c>
      <c r="F67" s="21">
        <v>6</v>
      </c>
      <c r="G67" s="21">
        <v>241</v>
      </c>
      <c r="H67" s="21">
        <v>5</v>
      </c>
      <c r="I67" s="21">
        <v>3</v>
      </c>
      <c r="J67" s="21">
        <v>3</v>
      </c>
      <c r="K67" s="22">
        <v>10</v>
      </c>
      <c r="L67" s="22">
        <v>0</v>
      </c>
    </row>
    <row r="68" spans="1:12" ht="11.25">
      <c r="A68" s="23" t="s">
        <v>132</v>
      </c>
      <c r="B68" s="54" t="s">
        <v>133</v>
      </c>
      <c r="C68" s="20">
        <v>217</v>
      </c>
      <c r="D68" s="21">
        <v>96</v>
      </c>
      <c r="E68" s="21">
        <v>1</v>
      </c>
      <c r="F68" s="21">
        <v>3</v>
      </c>
      <c r="G68" s="21">
        <v>99</v>
      </c>
      <c r="H68" s="21">
        <v>3</v>
      </c>
      <c r="I68" s="21">
        <v>6</v>
      </c>
      <c r="J68" s="21">
        <v>0</v>
      </c>
      <c r="K68" s="22">
        <v>7</v>
      </c>
      <c r="L68" s="22">
        <v>0</v>
      </c>
    </row>
    <row r="69" spans="1:12" ht="11.25">
      <c r="A69" s="23" t="s">
        <v>134</v>
      </c>
      <c r="B69" s="54" t="s">
        <v>135</v>
      </c>
      <c r="C69" s="20">
        <v>205</v>
      </c>
      <c r="D69" s="21">
        <v>137</v>
      </c>
      <c r="E69" s="21">
        <v>1</v>
      </c>
      <c r="F69" s="21">
        <v>1</v>
      </c>
      <c r="G69" s="21">
        <v>64</v>
      </c>
      <c r="H69" s="21" t="s">
        <v>15</v>
      </c>
      <c r="I69" s="21" t="s">
        <v>15</v>
      </c>
      <c r="J69" s="21">
        <v>0</v>
      </c>
      <c r="K69" s="22">
        <v>1</v>
      </c>
      <c r="L69" s="22">
        <v>0</v>
      </c>
    </row>
    <row r="70" spans="1:12" ht="11.25">
      <c r="A70" s="23" t="s">
        <v>136</v>
      </c>
      <c r="B70" s="54" t="s">
        <v>137</v>
      </c>
      <c r="C70" s="20">
        <v>66</v>
      </c>
      <c r="D70" s="21">
        <v>46</v>
      </c>
      <c r="E70" s="21" t="s">
        <v>15</v>
      </c>
      <c r="F70" s="21" t="s">
        <v>15</v>
      </c>
      <c r="G70" s="21">
        <v>20</v>
      </c>
      <c r="H70" s="21" t="s">
        <v>15</v>
      </c>
      <c r="I70" s="21">
        <v>0</v>
      </c>
      <c r="J70" s="21">
        <v>0</v>
      </c>
      <c r="K70" s="22" t="s">
        <v>15</v>
      </c>
      <c r="L70" s="22">
        <v>0</v>
      </c>
    </row>
    <row r="71" spans="1:12" ht="11.25">
      <c r="A71" s="23" t="s">
        <v>138</v>
      </c>
      <c r="B71" s="191" t="s">
        <v>139</v>
      </c>
      <c r="C71" s="20">
        <v>143</v>
      </c>
      <c r="D71" s="21">
        <v>55</v>
      </c>
      <c r="E71" s="21">
        <v>1</v>
      </c>
      <c r="F71" s="21">
        <v>1</v>
      </c>
      <c r="G71" s="21">
        <v>53</v>
      </c>
      <c r="H71" s="21">
        <v>2</v>
      </c>
      <c r="I71" s="21">
        <v>1</v>
      </c>
      <c r="J71" s="21" t="s">
        <v>15</v>
      </c>
      <c r="K71" s="22">
        <v>30</v>
      </c>
      <c r="L71" s="22">
        <v>0</v>
      </c>
    </row>
    <row r="72" spans="1:12" ht="11.25">
      <c r="A72" s="23" t="s">
        <v>140</v>
      </c>
      <c r="B72" s="54" t="s">
        <v>141</v>
      </c>
      <c r="C72" s="20">
        <v>492</v>
      </c>
      <c r="D72" s="21">
        <v>195</v>
      </c>
      <c r="E72" s="21">
        <v>5</v>
      </c>
      <c r="F72" s="21">
        <v>15</v>
      </c>
      <c r="G72" s="21">
        <v>212</v>
      </c>
      <c r="H72" s="21">
        <v>4</v>
      </c>
      <c r="I72" s="21">
        <v>29</v>
      </c>
      <c r="J72" s="21">
        <v>1</v>
      </c>
      <c r="K72" s="22">
        <v>31</v>
      </c>
      <c r="L72" s="22">
        <v>0</v>
      </c>
    </row>
    <row r="73" spans="1:12" ht="11.25">
      <c r="A73" s="23" t="s">
        <v>142</v>
      </c>
      <c r="B73" s="54" t="s">
        <v>143</v>
      </c>
      <c r="C73" s="10"/>
      <c r="D73" s="12"/>
      <c r="E73" s="12"/>
      <c r="F73" s="12"/>
      <c r="G73" s="12"/>
      <c r="H73" s="12"/>
      <c r="I73" s="12"/>
      <c r="J73" s="12"/>
      <c r="K73" s="15"/>
      <c r="L73" s="15"/>
    </row>
    <row r="74" spans="1:12" ht="11.25">
      <c r="A74" s="23" t="s">
        <v>144</v>
      </c>
      <c r="B74" s="54" t="s">
        <v>145</v>
      </c>
      <c r="C74" s="20">
        <v>88</v>
      </c>
      <c r="D74" s="21">
        <v>30</v>
      </c>
      <c r="E74" s="21" t="s">
        <v>15</v>
      </c>
      <c r="F74" s="21">
        <v>1</v>
      </c>
      <c r="G74" s="21">
        <v>27</v>
      </c>
      <c r="H74" s="21">
        <v>1</v>
      </c>
      <c r="I74" s="21">
        <v>2</v>
      </c>
      <c r="J74" s="21">
        <v>0</v>
      </c>
      <c r="K74" s="22">
        <v>28</v>
      </c>
      <c r="L74" s="22">
        <v>0</v>
      </c>
    </row>
    <row r="75" spans="1:12" ht="11.25">
      <c r="A75" s="27" t="s">
        <v>146</v>
      </c>
      <c r="B75" s="55" t="s">
        <v>147</v>
      </c>
      <c r="C75" s="29">
        <v>89</v>
      </c>
      <c r="D75" s="30">
        <v>40</v>
      </c>
      <c r="E75" s="30">
        <v>1</v>
      </c>
      <c r="F75" s="30">
        <v>2</v>
      </c>
      <c r="G75" s="30">
        <v>40</v>
      </c>
      <c r="H75" s="30">
        <v>1</v>
      </c>
      <c r="I75" s="30" t="s">
        <v>15</v>
      </c>
      <c r="J75" s="30">
        <v>0</v>
      </c>
      <c r="K75" s="31">
        <v>4</v>
      </c>
      <c r="L75" s="31">
        <v>0</v>
      </c>
    </row>
    <row r="77" ht="10.5">
      <c r="B77" s="1" t="s">
        <v>217</v>
      </c>
    </row>
    <row r="78" ht="10.5">
      <c r="B78" s="1" t="s">
        <v>218</v>
      </c>
    </row>
    <row r="80" ht="10.5">
      <c r="B80" s="1" t="s">
        <v>219</v>
      </c>
    </row>
  </sheetData>
  <mergeCells count="2">
    <mergeCell ref="A1:K1"/>
    <mergeCell ref="A2:L2"/>
  </mergeCells>
  <printOptions/>
  <pageMargins left="0.75" right="0.75" top="1" bottom="1" header="0.5" footer="0.5"/>
  <pageSetup fitToHeight="3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4">
      <selection activeCell="B30" sqref="B30"/>
    </sheetView>
  </sheetViews>
  <sheetFormatPr defaultColWidth="9.140625" defaultRowHeight="12.75"/>
  <cols>
    <col min="1" max="1" width="9.140625" style="53" customWidth="1"/>
    <col min="2" max="2" width="24.140625" style="53" bestFit="1" customWidth="1"/>
    <col min="3" max="11" width="9.140625" style="53" customWidth="1"/>
    <col min="12" max="12" width="0" style="53" hidden="1" customWidth="1"/>
    <col min="13" max="16384" width="9.140625" style="53" customWidth="1"/>
  </cols>
  <sheetData>
    <row r="1" spans="1:11" ht="11.25">
      <c r="A1" s="235" t="s">
        <v>231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1.25">
      <c r="A2" s="242" t="s">
        <v>200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1.25">
      <c r="A3" s="226"/>
      <c r="B3" s="227"/>
      <c r="C3" s="243" t="s">
        <v>221</v>
      </c>
      <c r="D3" s="243"/>
      <c r="E3" s="243"/>
      <c r="F3" s="243"/>
      <c r="G3" s="243"/>
      <c r="H3" s="243"/>
      <c r="I3" s="243"/>
      <c r="J3" s="243"/>
      <c r="K3" s="244"/>
    </row>
    <row r="4" spans="1:12" ht="11.25">
      <c r="A4" s="2"/>
      <c r="B4" s="3"/>
      <c r="C4" s="6" t="s">
        <v>0</v>
      </c>
      <c r="D4" s="5"/>
      <c r="E4" s="6" t="s">
        <v>0</v>
      </c>
      <c r="F4" s="6" t="s">
        <v>0</v>
      </c>
      <c r="G4" s="5"/>
      <c r="H4" s="6" t="s">
        <v>0</v>
      </c>
      <c r="I4" s="6" t="s">
        <v>0</v>
      </c>
      <c r="J4" s="5"/>
      <c r="K4" s="7" t="s">
        <v>0</v>
      </c>
      <c r="L4" s="192"/>
    </row>
    <row r="5" spans="1:12" ht="11.25">
      <c r="A5" s="8" t="s">
        <v>2</v>
      </c>
      <c r="B5" s="9" t="s">
        <v>3</v>
      </c>
      <c r="C5" s="12"/>
      <c r="D5" s="11" t="s">
        <v>4</v>
      </c>
      <c r="E5" s="11" t="s">
        <v>5</v>
      </c>
      <c r="F5" s="11" t="s">
        <v>6</v>
      </c>
      <c r="G5" s="14" t="s">
        <v>9</v>
      </c>
      <c r="H5" s="11" t="s">
        <v>7</v>
      </c>
      <c r="I5" s="12"/>
      <c r="J5" s="11" t="s">
        <v>8</v>
      </c>
      <c r="K5" s="13" t="s">
        <v>0</v>
      </c>
      <c r="L5" s="160" t="s">
        <v>166</v>
      </c>
    </row>
    <row r="6" spans="1:12" ht="11.25">
      <c r="A6" s="10"/>
      <c r="B6" s="15"/>
      <c r="C6" s="11" t="s">
        <v>166</v>
      </c>
      <c r="D6" s="11" t="s">
        <v>174</v>
      </c>
      <c r="E6" s="11" t="s">
        <v>10</v>
      </c>
      <c r="F6" s="11" t="s">
        <v>10</v>
      </c>
      <c r="G6" s="11" t="s">
        <v>172</v>
      </c>
      <c r="H6" s="11" t="s">
        <v>175</v>
      </c>
      <c r="I6" s="11" t="s">
        <v>11</v>
      </c>
      <c r="J6" s="11" t="s">
        <v>12</v>
      </c>
      <c r="K6" s="13" t="s">
        <v>176</v>
      </c>
      <c r="L6" s="160" t="s">
        <v>167</v>
      </c>
    </row>
    <row r="7" spans="1:12" ht="11.25">
      <c r="A7" s="17"/>
      <c r="B7" s="18"/>
      <c r="C7" s="12"/>
      <c r="D7" s="12"/>
      <c r="E7" s="12"/>
      <c r="F7" s="230" t="s">
        <v>177</v>
      </c>
      <c r="G7" s="230"/>
      <c r="H7" s="230"/>
      <c r="I7" s="12"/>
      <c r="J7" s="12"/>
      <c r="K7" s="15"/>
      <c r="L7" s="160"/>
    </row>
    <row r="8" spans="1:12" ht="11.25">
      <c r="A8" s="10" t="s">
        <v>151</v>
      </c>
      <c r="B8" s="12" t="s">
        <v>152</v>
      </c>
      <c r="C8" s="108">
        <f>+C9+C12</f>
        <v>1152</v>
      </c>
      <c r="D8" s="110">
        <f aca="true" t="shared" si="0" ref="D8:K8">+D9+D12</f>
        <v>237</v>
      </c>
      <c r="E8" s="110">
        <f t="shared" si="0"/>
        <v>16</v>
      </c>
      <c r="F8" s="110">
        <f t="shared" si="0"/>
        <v>18</v>
      </c>
      <c r="G8" s="110">
        <f t="shared" si="0"/>
        <v>613</v>
      </c>
      <c r="H8" s="110">
        <f t="shared" si="0"/>
        <v>6</v>
      </c>
      <c r="I8" s="110">
        <f t="shared" si="0"/>
        <v>158</v>
      </c>
      <c r="J8" s="110">
        <f t="shared" si="0"/>
        <v>2</v>
      </c>
      <c r="K8" s="109">
        <f t="shared" si="0"/>
        <v>101</v>
      </c>
      <c r="L8" s="111">
        <f>SUM(D8:K8)</f>
        <v>1151</v>
      </c>
    </row>
    <row r="9" spans="1:12" ht="11.25">
      <c r="A9" s="23" t="s">
        <v>13</v>
      </c>
      <c r="B9" s="54" t="s">
        <v>14</v>
      </c>
      <c r="C9" s="115">
        <v>1044</v>
      </c>
      <c r="D9" s="116">
        <v>213</v>
      </c>
      <c r="E9" s="116">
        <v>14</v>
      </c>
      <c r="F9" s="116">
        <v>16</v>
      </c>
      <c r="G9" s="116">
        <v>568</v>
      </c>
      <c r="H9" s="116">
        <v>5</v>
      </c>
      <c r="I9" s="116">
        <v>129</v>
      </c>
      <c r="J9" s="116">
        <v>2</v>
      </c>
      <c r="K9" s="155">
        <v>97</v>
      </c>
      <c r="L9" s="121">
        <f>SUM(D9:K9)</f>
        <v>1044</v>
      </c>
    </row>
    <row r="10" spans="1:12" ht="11.25">
      <c r="A10" s="23" t="s">
        <v>16</v>
      </c>
      <c r="B10" s="54" t="s">
        <v>17</v>
      </c>
      <c r="C10" s="115">
        <v>173</v>
      </c>
      <c r="D10" s="116">
        <v>24</v>
      </c>
      <c r="E10" s="116">
        <v>0</v>
      </c>
      <c r="F10" s="116">
        <v>0</v>
      </c>
      <c r="G10" s="116">
        <v>77</v>
      </c>
      <c r="H10" s="116">
        <v>0</v>
      </c>
      <c r="I10" s="116">
        <v>65</v>
      </c>
      <c r="J10" s="116">
        <v>0</v>
      </c>
      <c r="K10" s="155">
        <v>6</v>
      </c>
      <c r="L10" s="121">
        <f>SUM(D10:K10)</f>
        <v>172</v>
      </c>
    </row>
    <row r="11" spans="1:12" ht="11.25">
      <c r="A11" s="23" t="s">
        <v>18</v>
      </c>
      <c r="B11" s="54" t="s">
        <v>19</v>
      </c>
      <c r="C11" s="114" t="s">
        <v>159</v>
      </c>
      <c r="D11" s="154" t="s">
        <v>159</v>
      </c>
      <c r="E11" s="154" t="s">
        <v>159</v>
      </c>
      <c r="F11" s="154" t="s">
        <v>159</v>
      </c>
      <c r="G11" s="154" t="s">
        <v>159</v>
      </c>
      <c r="H11" s="154" t="s">
        <v>159</v>
      </c>
      <c r="I11" s="154" t="s">
        <v>159</v>
      </c>
      <c r="J11" s="154" t="s">
        <v>159</v>
      </c>
      <c r="K11" s="156" t="s">
        <v>159</v>
      </c>
      <c r="L11" s="121"/>
    </row>
    <row r="12" spans="1:12" ht="11.25">
      <c r="A12" s="23" t="s">
        <v>20</v>
      </c>
      <c r="B12" s="54" t="s">
        <v>21</v>
      </c>
      <c r="C12" s="115">
        <v>108</v>
      </c>
      <c r="D12" s="116">
        <v>24</v>
      </c>
      <c r="E12" s="116">
        <v>2</v>
      </c>
      <c r="F12" s="116">
        <v>2</v>
      </c>
      <c r="G12" s="116">
        <v>45</v>
      </c>
      <c r="H12" s="116">
        <v>1</v>
      </c>
      <c r="I12" s="116">
        <v>29</v>
      </c>
      <c r="J12" s="116">
        <v>0</v>
      </c>
      <c r="K12" s="155">
        <v>4</v>
      </c>
      <c r="L12" s="121">
        <f>SUM(D12:K12)</f>
        <v>107</v>
      </c>
    </row>
    <row r="13" spans="1:12" ht="11.25">
      <c r="A13" s="23" t="s">
        <v>22</v>
      </c>
      <c r="B13" s="54" t="s">
        <v>23</v>
      </c>
      <c r="C13" s="114" t="s">
        <v>159</v>
      </c>
      <c r="D13" s="154" t="s">
        <v>159</v>
      </c>
      <c r="E13" s="154" t="s">
        <v>159</v>
      </c>
      <c r="F13" s="154" t="s">
        <v>159</v>
      </c>
      <c r="G13" s="154" t="s">
        <v>159</v>
      </c>
      <c r="H13" s="154" t="s">
        <v>159</v>
      </c>
      <c r="I13" s="154" t="s">
        <v>159</v>
      </c>
      <c r="J13" s="154" t="s">
        <v>159</v>
      </c>
      <c r="K13" s="156" t="s">
        <v>159</v>
      </c>
      <c r="L13" s="161"/>
    </row>
    <row r="14" spans="1:12" ht="11.25">
      <c r="A14" s="27" t="s">
        <v>24</v>
      </c>
      <c r="B14" s="55" t="s">
        <v>25</v>
      </c>
      <c r="C14" s="157" t="s">
        <v>159</v>
      </c>
      <c r="D14" s="158" t="s">
        <v>159</v>
      </c>
      <c r="E14" s="158" t="s">
        <v>159</v>
      </c>
      <c r="F14" s="158" t="s">
        <v>159</v>
      </c>
      <c r="G14" s="158" t="s">
        <v>159</v>
      </c>
      <c r="H14" s="158" t="s">
        <v>159</v>
      </c>
      <c r="I14" s="158" t="s">
        <v>159</v>
      </c>
      <c r="J14" s="158" t="s">
        <v>159</v>
      </c>
      <c r="K14" s="159" t="s">
        <v>159</v>
      </c>
      <c r="L14" s="162"/>
    </row>
    <row r="15" spans="1:11" ht="11.25">
      <c r="A15" s="64"/>
      <c r="B15" s="62"/>
      <c r="C15" s="62"/>
      <c r="D15" s="62"/>
      <c r="E15" s="62"/>
      <c r="F15" s="62"/>
      <c r="G15" s="62"/>
      <c r="H15" s="62"/>
      <c r="I15" s="62"/>
      <c r="J15" s="62"/>
      <c r="K15" s="161"/>
    </row>
    <row r="16" spans="1:12" s="33" customFormat="1" ht="10.5">
      <c r="A16" s="233" t="s">
        <v>188</v>
      </c>
      <c r="B16" s="234"/>
      <c r="C16" s="204"/>
      <c r="D16" s="205">
        <f>+D20/(D8/1000)</f>
        <v>182.21257383966244</v>
      </c>
      <c r="E16" s="205">
        <v>78.8</v>
      </c>
      <c r="F16" s="205">
        <v>73.15</v>
      </c>
      <c r="G16" s="205">
        <v>53.06</v>
      </c>
      <c r="H16" s="205">
        <v>62.68</v>
      </c>
      <c r="I16" s="205">
        <v>93.98</v>
      </c>
      <c r="J16" s="205">
        <v>93.71</v>
      </c>
      <c r="K16" s="206"/>
      <c r="L16" s="34"/>
    </row>
    <row r="17" spans="1:12" s="33" customFormat="1" ht="10.5">
      <c r="A17" s="163"/>
      <c r="B17" s="203"/>
      <c r="C17" s="204"/>
      <c r="D17" s="205"/>
      <c r="E17" s="205"/>
      <c r="F17" s="205"/>
      <c r="G17" s="205"/>
      <c r="H17" s="205"/>
      <c r="I17" s="205"/>
      <c r="J17" s="205"/>
      <c r="K17" s="206"/>
      <c r="L17" s="34"/>
    </row>
    <row r="18" spans="1:11" ht="11.25">
      <c r="A18" s="64"/>
      <c r="B18" s="62"/>
      <c r="C18" s="245" t="s">
        <v>222</v>
      </c>
      <c r="D18" s="245"/>
      <c r="E18" s="245"/>
      <c r="F18" s="245"/>
      <c r="G18" s="245"/>
      <c r="H18" s="245"/>
      <c r="I18" s="245"/>
      <c r="J18" s="245"/>
      <c r="K18" s="246"/>
    </row>
    <row r="19" spans="1:11" ht="11.25">
      <c r="A19" s="59"/>
      <c r="B19" s="60"/>
      <c r="C19" s="59"/>
      <c r="D19" s="60"/>
      <c r="E19" s="60"/>
      <c r="F19" s="241" t="s">
        <v>178</v>
      </c>
      <c r="G19" s="241"/>
      <c r="H19" s="241"/>
      <c r="I19" s="60"/>
      <c r="J19" s="60"/>
      <c r="K19" s="153"/>
    </row>
    <row r="20" spans="1:11" ht="11.25">
      <c r="A20" s="64" t="s">
        <v>151</v>
      </c>
      <c r="B20" s="62" t="s">
        <v>162</v>
      </c>
      <c r="C20" s="64">
        <v>93.7</v>
      </c>
      <c r="D20" s="61">
        <f>+C20-(SUM(E20:K20))</f>
        <v>43.18438</v>
      </c>
      <c r="E20" s="61">
        <f>+(E8/1000)*E$16</f>
        <v>1.2608</v>
      </c>
      <c r="F20" s="61">
        <f aca="true" t="shared" si="1" ref="F20:K20">+(F8/1000)*F$16</f>
        <v>1.3167</v>
      </c>
      <c r="G20" s="61">
        <f t="shared" si="1"/>
        <v>32.52578</v>
      </c>
      <c r="H20" s="61">
        <f t="shared" si="1"/>
        <v>0.37608</v>
      </c>
      <c r="I20" s="61">
        <f t="shared" si="1"/>
        <v>14.848840000000001</v>
      </c>
      <c r="J20" s="61">
        <f t="shared" si="1"/>
        <v>0.18742</v>
      </c>
      <c r="K20" s="70">
        <f t="shared" si="1"/>
        <v>0</v>
      </c>
    </row>
    <row r="21" spans="1:11" ht="11.25">
      <c r="A21" s="23" t="s">
        <v>13</v>
      </c>
      <c r="B21" s="54" t="s">
        <v>14</v>
      </c>
      <c r="C21" s="63">
        <f>+C20*(C9/(C9+C12))</f>
        <v>84.915625</v>
      </c>
      <c r="D21" s="61">
        <f>+C21-(SUM(E21:K21))</f>
        <v>39.879705</v>
      </c>
      <c r="E21" s="61">
        <f aca="true" t="shared" si="2" ref="E21:K24">+(E9/1000)*E$16</f>
        <v>1.1032</v>
      </c>
      <c r="F21" s="61">
        <f t="shared" si="2"/>
        <v>1.1704</v>
      </c>
      <c r="G21" s="61">
        <f t="shared" si="2"/>
        <v>30.13808</v>
      </c>
      <c r="H21" s="61">
        <f t="shared" si="2"/>
        <v>0.3134</v>
      </c>
      <c r="I21" s="61">
        <f t="shared" si="2"/>
        <v>12.123420000000001</v>
      </c>
      <c r="J21" s="61">
        <f t="shared" si="2"/>
        <v>0.18742</v>
      </c>
      <c r="K21" s="70">
        <f t="shared" si="2"/>
        <v>0</v>
      </c>
    </row>
    <row r="22" spans="1:11" ht="11.25">
      <c r="A22" s="23" t="s">
        <v>16</v>
      </c>
      <c r="B22" s="54" t="s">
        <v>17</v>
      </c>
      <c r="C22" s="63">
        <f>+C21*(C10/C9)</f>
        <v>14.071267361111113</v>
      </c>
      <c r="D22" s="61">
        <f>+C22-(SUM(E22:K22))</f>
        <v>3.876947361111112</v>
      </c>
      <c r="E22" s="61">
        <f t="shared" si="2"/>
        <v>0</v>
      </c>
      <c r="F22" s="61">
        <f t="shared" si="2"/>
        <v>0</v>
      </c>
      <c r="G22" s="61">
        <f t="shared" si="2"/>
        <v>4.0856200000000005</v>
      </c>
      <c r="H22" s="61">
        <f t="shared" si="2"/>
        <v>0</v>
      </c>
      <c r="I22" s="61">
        <f t="shared" si="2"/>
        <v>6.108700000000001</v>
      </c>
      <c r="J22" s="61">
        <f t="shared" si="2"/>
        <v>0</v>
      </c>
      <c r="K22" s="70">
        <f t="shared" si="2"/>
        <v>0</v>
      </c>
    </row>
    <row r="23" spans="1:11" ht="11.25">
      <c r="A23" s="23" t="s">
        <v>18</v>
      </c>
      <c r="B23" s="54" t="s">
        <v>19</v>
      </c>
      <c r="C23" s="114" t="s">
        <v>159</v>
      </c>
      <c r="D23" s="154" t="s">
        <v>159</v>
      </c>
      <c r="E23" s="154" t="s">
        <v>159</v>
      </c>
      <c r="F23" s="154" t="s">
        <v>159</v>
      </c>
      <c r="G23" s="154" t="s">
        <v>159</v>
      </c>
      <c r="H23" s="154" t="s">
        <v>159</v>
      </c>
      <c r="I23" s="154" t="s">
        <v>159</v>
      </c>
      <c r="J23" s="154" t="s">
        <v>159</v>
      </c>
      <c r="K23" s="156" t="s">
        <v>159</v>
      </c>
    </row>
    <row r="24" spans="1:11" ht="11.25">
      <c r="A24" s="23" t="s">
        <v>20</v>
      </c>
      <c r="B24" s="54" t="s">
        <v>21</v>
      </c>
      <c r="C24" s="63">
        <f>+C20*(C12/(C9+C12))</f>
        <v>8.784375</v>
      </c>
      <c r="D24" s="61">
        <f>+C24-(SUM(E24:K24))</f>
        <v>3.3046750000000005</v>
      </c>
      <c r="E24" s="61">
        <f t="shared" si="2"/>
        <v>0.1576</v>
      </c>
      <c r="F24" s="61">
        <f t="shared" si="2"/>
        <v>0.1463</v>
      </c>
      <c r="G24" s="61">
        <f t="shared" si="2"/>
        <v>2.3877</v>
      </c>
      <c r="H24" s="61">
        <f t="shared" si="2"/>
        <v>0.06268</v>
      </c>
      <c r="I24" s="61">
        <f t="shared" si="2"/>
        <v>2.72542</v>
      </c>
      <c r="J24" s="61">
        <f t="shared" si="2"/>
        <v>0</v>
      </c>
      <c r="K24" s="70">
        <f t="shared" si="2"/>
        <v>0</v>
      </c>
    </row>
    <row r="25" spans="1:11" ht="11.25">
      <c r="A25" s="23" t="s">
        <v>22</v>
      </c>
      <c r="B25" s="54" t="s">
        <v>23</v>
      </c>
      <c r="C25" s="114" t="s">
        <v>159</v>
      </c>
      <c r="D25" s="154" t="s">
        <v>159</v>
      </c>
      <c r="E25" s="154" t="s">
        <v>159</v>
      </c>
      <c r="F25" s="154" t="s">
        <v>159</v>
      </c>
      <c r="G25" s="154" t="s">
        <v>159</v>
      </c>
      <c r="H25" s="154" t="s">
        <v>159</v>
      </c>
      <c r="I25" s="154" t="s">
        <v>159</v>
      </c>
      <c r="J25" s="154" t="s">
        <v>159</v>
      </c>
      <c r="K25" s="156" t="s">
        <v>159</v>
      </c>
    </row>
    <row r="26" spans="1:11" ht="11.25">
      <c r="A26" s="27" t="s">
        <v>24</v>
      </c>
      <c r="B26" s="55" t="s">
        <v>25</v>
      </c>
      <c r="C26" s="157" t="s">
        <v>159</v>
      </c>
      <c r="D26" s="158" t="s">
        <v>159</v>
      </c>
      <c r="E26" s="158" t="s">
        <v>159</v>
      </c>
      <c r="F26" s="158" t="s">
        <v>159</v>
      </c>
      <c r="G26" s="158" t="s">
        <v>159</v>
      </c>
      <c r="H26" s="158" t="s">
        <v>159</v>
      </c>
      <c r="I26" s="158" t="s">
        <v>159</v>
      </c>
      <c r="J26" s="158" t="s">
        <v>159</v>
      </c>
      <c r="K26" s="159" t="s">
        <v>159</v>
      </c>
    </row>
    <row r="28" ht="11.25">
      <c r="B28" s="53" t="s">
        <v>173</v>
      </c>
    </row>
    <row r="29" ht="11.25">
      <c r="B29" s="53" t="s">
        <v>179</v>
      </c>
    </row>
    <row r="30" ht="11.25">
      <c r="B30" s="53" t="s">
        <v>180</v>
      </c>
    </row>
    <row r="32" ht="11.25">
      <c r="C32" s="53" t="s">
        <v>181</v>
      </c>
    </row>
  </sheetData>
  <mergeCells count="7">
    <mergeCell ref="A16:B16"/>
    <mergeCell ref="F7:H7"/>
    <mergeCell ref="F19:H19"/>
    <mergeCell ref="A1:K1"/>
    <mergeCell ref="A2:K2"/>
    <mergeCell ref="C3:K3"/>
    <mergeCell ref="C18:K18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0">
      <selection activeCell="B19" sqref="B19"/>
    </sheetView>
  </sheetViews>
  <sheetFormatPr defaultColWidth="9.140625" defaultRowHeight="12.75"/>
  <cols>
    <col min="1" max="1" width="10.421875" style="53" bestFit="1" customWidth="1"/>
    <col min="2" max="2" width="20.7109375" style="53" customWidth="1"/>
    <col min="3" max="6" width="9.140625" style="53" customWidth="1"/>
    <col min="7" max="7" width="10.7109375" style="53" bestFit="1" customWidth="1"/>
    <col min="8" max="16384" width="9.140625" style="53" customWidth="1"/>
  </cols>
  <sheetData>
    <row r="1" spans="1:11" ht="11.25">
      <c r="A1" s="235" t="s">
        <v>230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1.25">
      <c r="A2" s="242" t="s">
        <v>200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2" ht="11.25">
      <c r="A3" s="59"/>
      <c r="B3" s="60"/>
      <c r="C3" s="2"/>
      <c r="D3" s="6" t="s">
        <v>4</v>
      </c>
      <c r="E3" s="6" t="s">
        <v>5</v>
      </c>
      <c r="F3" s="6" t="s">
        <v>6</v>
      </c>
      <c r="G3" s="152" t="s">
        <v>9</v>
      </c>
      <c r="H3" s="6" t="s">
        <v>7</v>
      </c>
      <c r="I3" s="5"/>
      <c r="J3" s="6" t="s">
        <v>8</v>
      </c>
      <c r="K3" s="7" t="s">
        <v>0</v>
      </c>
      <c r="L3" s="225"/>
    </row>
    <row r="4" spans="1:12" ht="11.25">
      <c r="A4" s="8" t="s">
        <v>2</v>
      </c>
      <c r="B4" s="67" t="s">
        <v>3</v>
      </c>
      <c r="C4" s="16" t="s">
        <v>166</v>
      </c>
      <c r="D4" s="11" t="s">
        <v>174</v>
      </c>
      <c r="E4" s="11" t="s">
        <v>10</v>
      </c>
      <c r="F4" s="11" t="s">
        <v>10</v>
      </c>
      <c r="G4" s="11" t="s">
        <v>172</v>
      </c>
      <c r="H4" s="11" t="s">
        <v>175</v>
      </c>
      <c r="I4" s="11" t="s">
        <v>11</v>
      </c>
      <c r="J4" s="11" t="s">
        <v>12</v>
      </c>
      <c r="K4" s="13" t="s">
        <v>176</v>
      </c>
      <c r="L4" s="225"/>
    </row>
    <row r="5" spans="1:12" ht="11.25">
      <c r="A5" s="17"/>
      <c r="B5" s="19"/>
      <c r="C5" s="17"/>
      <c r="D5" s="19"/>
      <c r="E5" s="19"/>
      <c r="F5" s="19"/>
      <c r="G5" s="19"/>
      <c r="H5" s="19"/>
      <c r="I5" s="19"/>
      <c r="J5" s="19"/>
      <c r="K5" s="18"/>
      <c r="L5" s="225"/>
    </row>
    <row r="6" spans="1:12" ht="11.25">
      <c r="A6" s="35" t="s">
        <v>161</v>
      </c>
      <c r="B6" s="66" t="s">
        <v>160</v>
      </c>
      <c r="C6" s="56">
        <f>SUM(C7:C9)</f>
        <v>354</v>
      </c>
      <c r="D6" s="57">
        <f aca="true" t="shared" si="0" ref="D6:K6">SUM(D7:D9)</f>
        <v>138</v>
      </c>
      <c r="E6" s="57">
        <f t="shared" si="0"/>
        <v>17</v>
      </c>
      <c r="F6" s="57">
        <f t="shared" si="0"/>
        <v>5</v>
      </c>
      <c r="G6" s="57">
        <f t="shared" si="0"/>
        <v>151</v>
      </c>
      <c r="H6" s="57">
        <f t="shared" si="0"/>
        <v>3</v>
      </c>
      <c r="I6" s="57">
        <f t="shared" si="0"/>
        <v>24</v>
      </c>
      <c r="J6" s="57">
        <f t="shared" si="0"/>
        <v>0</v>
      </c>
      <c r="K6" s="58">
        <f t="shared" si="0"/>
        <v>18</v>
      </c>
      <c r="L6" s="167"/>
    </row>
    <row r="7" spans="1:12" ht="11.25">
      <c r="A7" s="23" t="s">
        <v>26</v>
      </c>
      <c r="B7" s="54" t="s">
        <v>27</v>
      </c>
      <c r="C7" s="20">
        <v>256</v>
      </c>
      <c r="D7" s="21">
        <v>102</v>
      </c>
      <c r="E7" s="21">
        <v>12</v>
      </c>
      <c r="F7" s="21">
        <v>4</v>
      </c>
      <c r="G7" s="21">
        <v>103</v>
      </c>
      <c r="H7" s="21">
        <v>2</v>
      </c>
      <c r="I7" s="21">
        <v>20</v>
      </c>
      <c r="J7" s="21">
        <v>0</v>
      </c>
      <c r="K7" s="22">
        <v>14</v>
      </c>
      <c r="L7" s="167"/>
    </row>
    <row r="8" spans="1:12" ht="11.25">
      <c r="A8" s="25" t="s">
        <v>28</v>
      </c>
      <c r="B8" s="65" t="s">
        <v>29</v>
      </c>
      <c r="C8" s="20">
        <v>50</v>
      </c>
      <c r="D8" s="21">
        <v>18</v>
      </c>
      <c r="E8" s="21">
        <v>3</v>
      </c>
      <c r="F8" s="21">
        <v>0</v>
      </c>
      <c r="G8" s="21">
        <v>25</v>
      </c>
      <c r="H8" s="21">
        <v>0</v>
      </c>
      <c r="I8" s="21">
        <v>3</v>
      </c>
      <c r="J8" s="21">
        <v>0</v>
      </c>
      <c r="K8" s="22">
        <v>0</v>
      </c>
      <c r="L8" s="167"/>
    </row>
    <row r="9" spans="1:12" ht="11.25">
      <c r="A9" s="27" t="s">
        <v>31</v>
      </c>
      <c r="B9" s="55" t="s">
        <v>32</v>
      </c>
      <c r="C9" s="29">
        <v>48</v>
      </c>
      <c r="D9" s="30">
        <v>18</v>
      </c>
      <c r="E9" s="30">
        <v>2</v>
      </c>
      <c r="F9" s="30">
        <v>1</v>
      </c>
      <c r="G9" s="30">
        <v>23</v>
      </c>
      <c r="H9" s="30">
        <v>1</v>
      </c>
      <c r="I9" s="30">
        <v>1</v>
      </c>
      <c r="J9" s="30">
        <v>0</v>
      </c>
      <c r="K9" s="31">
        <v>4</v>
      </c>
      <c r="L9" s="167"/>
    </row>
    <row r="10" spans="1:11" ht="11.25">
      <c r="A10" s="64"/>
      <c r="B10" s="62"/>
      <c r="C10" s="64"/>
      <c r="D10" s="62"/>
      <c r="E10" s="62"/>
      <c r="F10" s="62"/>
      <c r="G10" s="62"/>
      <c r="H10" s="62"/>
      <c r="I10" s="62"/>
      <c r="J10" s="62"/>
      <c r="K10" s="161"/>
    </row>
    <row r="11" spans="1:12" s="33" customFormat="1" ht="10.5">
      <c r="A11" s="233" t="s">
        <v>188</v>
      </c>
      <c r="B11" s="234"/>
      <c r="C11" s="211"/>
      <c r="D11" s="198">
        <f>+D13/(D6/1000)</f>
        <v>187.38427536231882</v>
      </c>
      <c r="E11" s="205">
        <v>78.8</v>
      </c>
      <c r="F11" s="205">
        <v>73.15</v>
      </c>
      <c r="G11" s="205">
        <v>53.06</v>
      </c>
      <c r="H11" s="205">
        <v>62.68</v>
      </c>
      <c r="I11" s="205">
        <v>93.98</v>
      </c>
      <c r="J11" s="205">
        <v>93.71</v>
      </c>
      <c r="K11" s="206">
        <v>60</v>
      </c>
      <c r="L11" s="34"/>
    </row>
    <row r="12" spans="1:11" ht="11.25">
      <c r="A12" s="64"/>
      <c r="B12" s="62"/>
      <c r="C12" s="64"/>
      <c r="D12" s="62"/>
      <c r="E12" s="62"/>
      <c r="F12" s="62"/>
      <c r="G12" s="62"/>
      <c r="H12" s="62"/>
      <c r="I12" s="62"/>
      <c r="J12" s="62"/>
      <c r="K12" s="161"/>
    </row>
    <row r="13" spans="1:12" ht="11.25">
      <c r="A13" s="35" t="s">
        <v>161</v>
      </c>
      <c r="B13" s="66" t="s">
        <v>160</v>
      </c>
      <c r="C13" s="59">
        <v>39.1</v>
      </c>
      <c r="D13" s="68">
        <f>+C13-(SUM(E13:K13))</f>
        <v>25.859029999999997</v>
      </c>
      <c r="E13" s="68">
        <f aca="true" t="shared" si="1" ref="E13:K16">+(E6/1000)*E$11</f>
        <v>1.3396000000000001</v>
      </c>
      <c r="F13" s="68">
        <f t="shared" si="1"/>
        <v>0.36575</v>
      </c>
      <c r="G13" s="68">
        <f t="shared" si="1"/>
        <v>8.01206</v>
      </c>
      <c r="H13" s="68">
        <f t="shared" si="1"/>
        <v>0.18804</v>
      </c>
      <c r="I13" s="68">
        <f t="shared" si="1"/>
        <v>2.25552</v>
      </c>
      <c r="J13" s="68">
        <f t="shared" si="1"/>
        <v>0</v>
      </c>
      <c r="K13" s="69">
        <f t="shared" si="1"/>
        <v>1.0799999999999998</v>
      </c>
      <c r="L13" s="81"/>
    </row>
    <row r="14" spans="1:11" ht="11.25">
      <c r="A14" s="23" t="s">
        <v>26</v>
      </c>
      <c r="B14" s="54" t="s">
        <v>27</v>
      </c>
      <c r="C14" s="63">
        <f>SUM(D14:K14)</f>
        <v>28.661536086956517</v>
      </c>
      <c r="D14" s="61">
        <f>+(D7/1000)*D$11</f>
        <v>19.113196086956517</v>
      </c>
      <c r="E14" s="61">
        <f t="shared" si="1"/>
        <v>0.9456</v>
      </c>
      <c r="F14" s="61">
        <f t="shared" si="1"/>
        <v>0.2926</v>
      </c>
      <c r="G14" s="61">
        <f t="shared" si="1"/>
        <v>5.46518</v>
      </c>
      <c r="H14" s="61">
        <f t="shared" si="1"/>
        <v>0.12536</v>
      </c>
      <c r="I14" s="61">
        <f t="shared" si="1"/>
        <v>1.8796000000000002</v>
      </c>
      <c r="J14" s="61">
        <f t="shared" si="1"/>
        <v>0</v>
      </c>
      <c r="K14" s="70">
        <f t="shared" si="1"/>
        <v>0.84</v>
      </c>
    </row>
    <row r="15" spans="1:11" ht="11.25">
      <c r="A15" s="25" t="s">
        <v>28</v>
      </c>
      <c r="B15" s="65" t="s">
        <v>29</v>
      </c>
      <c r="C15" s="63">
        <f>SUM(D15:K15)</f>
        <v>5.217756956521739</v>
      </c>
      <c r="D15" s="61">
        <f>+(D8/1000)*D$11</f>
        <v>3.3729169565217383</v>
      </c>
      <c r="E15" s="61">
        <f t="shared" si="1"/>
        <v>0.2364</v>
      </c>
      <c r="F15" s="61">
        <f t="shared" si="1"/>
        <v>0</v>
      </c>
      <c r="G15" s="61">
        <f t="shared" si="1"/>
        <v>1.3265000000000002</v>
      </c>
      <c r="H15" s="61">
        <f t="shared" si="1"/>
        <v>0</v>
      </c>
      <c r="I15" s="61">
        <f t="shared" si="1"/>
        <v>0.28194</v>
      </c>
      <c r="J15" s="61">
        <f t="shared" si="1"/>
        <v>0</v>
      </c>
      <c r="K15" s="70">
        <f t="shared" si="1"/>
        <v>0</v>
      </c>
    </row>
    <row r="16" spans="1:11" ht="11.25">
      <c r="A16" s="27" t="s">
        <v>31</v>
      </c>
      <c r="B16" s="55" t="s">
        <v>32</v>
      </c>
      <c r="C16" s="73">
        <f>SUM(D16:K16)</f>
        <v>5.220706956521739</v>
      </c>
      <c r="D16" s="71">
        <f>+(D9/1000)*D$11</f>
        <v>3.3729169565217383</v>
      </c>
      <c r="E16" s="71">
        <f t="shared" si="1"/>
        <v>0.1576</v>
      </c>
      <c r="F16" s="71">
        <f t="shared" si="1"/>
        <v>0.07315</v>
      </c>
      <c r="G16" s="71">
        <f t="shared" si="1"/>
        <v>1.22038</v>
      </c>
      <c r="H16" s="71">
        <f t="shared" si="1"/>
        <v>0.06268</v>
      </c>
      <c r="I16" s="71">
        <f t="shared" si="1"/>
        <v>0.09398000000000001</v>
      </c>
      <c r="J16" s="71">
        <f t="shared" si="1"/>
        <v>0</v>
      </c>
      <c r="K16" s="72">
        <f t="shared" si="1"/>
        <v>0.24</v>
      </c>
    </row>
    <row r="18" ht="11.25">
      <c r="C18" s="81"/>
    </row>
    <row r="19" ht="11.25">
      <c r="B19" s="53" t="s">
        <v>165</v>
      </c>
    </row>
  </sheetData>
  <mergeCells count="3">
    <mergeCell ref="A11:B11"/>
    <mergeCell ref="A1:K1"/>
    <mergeCell ref="A2:K2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3">
      <selection activeCell="A1" sqref="A1:K34"/>
    </sheetView>
  </sheetViews>
  <sheetFormatPr defaultColWidth="9.140625" defaultRowHeight="12.75"/>
  <cols>
    <col min="1" max="1" width="9.140625" style="112" customWidth="1"/>
    <col min="2" max="2" width="30.8515625" style="112" bestFit="1" customWidth="1"/>
    <col min="3" max="6" width="9.140625" style="112" customWidth="1"/>
    <col min="7" max="7" width="10.7109375" style="112" bestFit="1" customWidth="1"/>
    <col min="8" max="11" width="9.140625" style="112" customWidth="1"/>
    <col min="12" max="12" width="0" style="112" hidden="1" customWidth="1"/>
    <col min="13" max="16384" width="9.140625" style="112" customWidth="1"/>
  </cols>
  <sheetData>
    <row r="1" spans="1:11" ht="12">
      <c r="A1" s="249" t="s">
        <v>229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">
      <c r="A2" s="250" t="s">
        <v>200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2" ht="11.25">
      <c r="A3" s="251"/>
      <c r="B3" s="252"/>
      <c r="C3" s="253" t="s">
        <v>0</v>
      </c>
      <c r="D3" s="254"/>
      <c r="E3" s="254" t="s">
        <v>0</v>
      </c>
      <c r="F3" s="254" t="s">
        <v>0</v>
      </c>
      <c r="G3" s="255"/>
      <c r="H3" s="254" t="s">
        <v>0</v>
      </c>
      <c r="I3" s="254" t="s">
        <v>0</v>
      </c>
      <c r="J3" s="255"/>
      <c r="K3" s="256" t="s">
        <v>0</v>
      </c>
      <c r="L3" s="111"/>
    </row>
    <row r="4" spans="1:12" ht="11.25">
      <c r="A4" s="257" t="s">
        <v>2</v>
      </c>
      <c r="B4" s="258" t="s">
        <v>3</v>
      </c>
      <c r="C4" s="259"/>
      <c r="D4" s="260" t="s">
        <v>4</v>
      </c>
      <c r="E4" s="260" t="s">
        <v>5</v>
      </c>
      <c r="F4" s="260" t="s">
        <v>6</v>
      </c>
      <c r="G4" s="261" t="s">
        <v>9</v>
      </c>
      <c r="H4" s="260" t="s">
        <v>7</v>
      </c>
      <c r="I4" s="262"/>
      <c r="J4" s="260" t="s">
        <v>8</v>
      </c>
      <c r="K4" s="263" t="s">
        <v>0</v>
      </c>
      <c r="L4" s="160" t="s">
        <v>166</v>
      </c>
    </row>
    <row r="5" spans="1:12" ht="11.25">
      <c r="A5" s="264"/>
      <c r="B5" s="265"/>
      <c r="C5" s="266" t="s">
        <v>166</v>
      </c>
      <c r="D5" s="260" t="s">
        <v>174</v>
      </c>
      <c r="E5" s="260" t="s">
        <v>10</v>
      </c>
      <c r="F5" s="260" t="s">
        <v>10</v>
      </c>
      <c r="G5" s="260" t="s">
        <v>172</v>
      </c>
      <c r="H5" s="260" t="s">
        <v>175</v>
      </c>
      <c r="I5" s="260" t="s">
        <v>11</v>
      </c>
      <c r="J5" s="260" t="s">
        <v>12</v>
      </c>
      <c r="K5" s="263" t="s">
        <v>176</v>
      </c>
      <c r="L5" s="160" t="s">
        <v>167</v>
      </c>
    </row>
    <row r="6" spans="1:12" ht="11.25">
      <c r="A6" s="267"/>
      <c r="B6" s="268"/>
      <c r="C6" s="267"/>
      <c r="D6" s="269"/>
      <c r="E6" s="269"/>
      <c r="F6" s="270" t="s">
        <v>177</v>
      </c>
      <c r="G6" s="270"/>
      <c r="H6" s="270"/>
      <c r="I6" s="269"/>
      <c r="J6" s="269"/>
      <c r="K6" s="268"/>
      <c r="L6" s="121"/>
    </row>
    <row r="7" spans="1:12" ht="11.25">
      <c r="A7" s="264" t="s">
        <v>156</v>
      </c>
      <c r="B7" s="265" t="s">
        <v>164</v>
      </c>
      <c r="C7" s="251">
        <v>3256</v>
      </c>
      <c r="D7" s="255">
        <v>312</v>
      </c>
      <c r="E7" s="255">
        <v>152</v>
      </c>
      <c r="F7" s="255">
        <v>22</v>
      </c>
      <c r="G7" s="255">
        <v>659</v>
      </c>
      <c r="H7" s="255">
        <v>9</v>
      </c>
      <c r="I7" s="255">
        <v>279</v>
      </c>
      <c r="J7" s="255">
        <v>0</v>
      </c>
      <c r="K7" s="252">
        <v>1821</v>
      </c>
      <c r="L7" s="111">
        <f>SUM(D7:K7)</f>
        <v>3254</v>
      </c>
    </row>
    <row r="8" spans="1:12" ht="11.25">
      <c r="A8" s="271">
        <v>321</v>
      </c>
      <c r="B8" s="265" t="s">
        <v>163</v>
      </c>
      <c r="C8" s="272">
        <v>509</v>
      </c>
      <c r="D8" s="273">
        <v>72</v>
      </c>
      <c r="E8" s="273">
        <v>1</v>
      </c>
      <c r="F8" s="273">
        <v>13</v>
      </c>
      <c r="G8" s="273">
        <v>73</v>
      </c>
      <c r="H8" s="273">
        <v>4</v>
      </c>
      <c r="I8" s="273">
        <v>2</v>
      </c>
      <c r="J8" s="273">
        <v>0</v>
      </c>
      <c r="K8" s="274">
        <v>343</v>
      </c>
      <c r="L8" s="121">
        <f aca="true" t="shared" si="0" ref="L8:L16">SUM(D8:K8)</f>
        <v>508</v>
      </c>
    </row>
    <row r="9" spans="1:12" ht="11.25">
      <c r="A9" s="264" t="s">
        <v>37</v>
      </c>
      <c r="B9" s="265" t="s">
        <v>38</v>
      </c>
      <c r="C9" s="272">
        <v>166</v>
      </c>
      <c r="D9" s="273">
        <v>20</v>
      </c>
      <c r="E9" s="273">
        <v>1</v>
      </c>
      <c r="F9" s="273">
        <v>6</v>
      </c>
      <c r="G9" s="273">
        <v>9</v>
      </c>
      <c r="H9" s="273">
        <v>0</v>
      </c>
      <c r="I9" s="273">
        <v>0</v>
      </c>
      <c r="J9" s="273">
        <v>0</v>
      </c>
      <c r="K9" s="274">
        <v>130</v>
      </c>
      <c r="L9" s="121">
        <f t="shared" si="0"/>
        <v>166</v>
      </c>
    </row>
    <row r="10" spans="1:12" ht="11.25">
      <c r="A10" s="264" t="s">
        <v>39</v>
      </c>
      <c r="B10" s="265" t="s">
        <v>40</v>
      </c>
      <c r="C10" s="272">
        <v>223</v>
      </c>
      <c r="D10" s="273">
        <v>36</v>
      </c>
      <c r="E10" s="273">
        <v>0</v>
      </c>
      <c r="F10" s="273">
        <v>2</v>
      </c>
      <c r="G10" s="273">
        <v>48</v>
      </c>
      <c r="H10" s="273">
        <v>2</v>
      </c>
      <c r="I10" s="273">
        <v>2</v>
      </c>
      <c r="J10" s="273">
        <v>0</v>
      </c>
      <c r="K10" s="274">
        <v>132</v>
      </c>
      <c r="L10" s="121">
        <f t="shared" si="0"/>
        <v>222</v>
      </c>
    </row>
    <row r="11" spans="1:12" ht="11.25">
      <c r="A11" s="264" t="s">
        <v>41</v>
      </c>
      <c r="B11" s="265" t="s">
        <v>42</v>
      </c>
      <c r="C11" s="272">
        <v>106</v>
      </c>
      <c r="D11" s="273">
        <v>15</v>
      </c>
      <c r="E11" s="273">
        <v>0</v>
      </c>
      <c r="F11" s="273">
        <v>2</v>
      </c>
      <c r="G11" s="273">
        <v>12</v>
      </c>
      <c r="H11" s="273">
        <v>1</v>
      </c>
      <c r="I11" s="273">
        <v>0</v>
      </c>
      <c r="J11" s="273">
        <v>0</v>
      </c>
      <c r="K11" s="274">
        <v>75</v>
      </c>
      <c r="L11" s="121">
        <f t="shared" si="0"/>
        <v>105</v>
      </c>
    </row>
    <row r="12" spans="1:12" ht="11.25">
      <c r="A12" s="264" t="s">
        <v>43</v>
      </c>
      <c r="B12" s="265" t="s">
        <v>44</v>
      </c>
      <c r="C12" s="272">
        <v>2747</v>
      </c>
      <c r="D12" s="273">
        <v>240</v>
      </c>
      <c r="E12" s="273">
        <v>151</v>
      </c>
      <c r="F12" s="273">
        <v>9</v>
      </c>
      <c r="G12" s="273">
        <v>586</v>
      </c>
      <c r="H12" s="273">
        <v>5</v>
      </c>
      <c r="I12" s="273">
        <v>277</v>
      </c>
      <c r="J12" s="273">
        <v>0</v>
      </c>
      <c r="K12" s="274">
        <v>1478</v>
      </c>
      <c r="L12" s="121">
        <f t="shared" si="0"/>
        <v>2746</v>
      </c>
    </row>
    <row r="13" spans="1:12" ht="11.25">
      <c r="A13" s="264" t="s">
        <v>45</v>
      </c>
      <c r="B13" s="265" t="s">
        <v>46</v>
      </c>
      <c r="C13" s="272">
        <v>198</v>
      </c>
      <c r="D13" s="273">
        <v>5</v>
      </c>
      <c r="E13" s="273">
        <v>9</v>
      </c>
      <c r="F13" s="273">
        <v>2</v>
      </c>
      <c r="G13" s="273">
        <v>24</v>
      </c>
      <c r="H13" s="273">
        <v>0</v>
      </c>
      <c r="I13" s="273">
        <v>4</v>
      </c>
      <c r="J13" s="273">
        <v>0</v>
      </c>
      <c r="K13" s="274">
        <v>154</v>
      </c>
      <c r="L13" s="121">
        <f t="shared" si="0"/>
        <v>198</v>
      </c>
    </row>
    <row r="14" spans="1:12" ht="11.25">
      <c r="A14" s="264" t="s">
        <v>48</v>
      </c>
      <c r="B14" s="265" t="s">
        <v>49</v>
      </c>
      <c r="C14" s="272">
        <v>1154</v>
      </c>
      <c r="D14" s="273">
        <v>87</v>
      </c>
      <c r="E14" s="273">
        <v>85</v>
      </c>
      <c r="F14" s="273">
        <v>4</v>
      </c>
      <c r="G14" s="273">
        <v>231</v>
      </c>
      <c r="H14" s="273">
        <v>2</v>
      </c>
      <c r="I14" s="273">
        <v>131</v>
      </c>
      <c r="J14" s="273">
        <v>0</v>
      </c>
      <c r="K14" s="274">
        <v>614</v>
      </c>
      <c r="L14" s="121">
        <f t="shared" si="0"/>
        <v>1154</v>
      </c>
    </row>
    <row r="15" spans="1:12" ht="11.25">
      <c r="A15" s="264" t="s">
        <v>50</v>
      </c>
      <c r="B15" s="265" t="s">
        <v>51</v>
      </c>
      <c r="C15" s="272">
        <v>175</v>
      </c>
      <c r="D15" s="273">
        <v>50</v>
      </c>
      <c r="E15" s="273">
        <v>11</v>
      </c>
      <c r="F15" s="273">
        <v>0</v>
      </c>
      <c r="G15" s="273">
        <v>23</v>
      </c>
      <c r="H15" s="273">
        <v>1</v>
      </c>
      <c r="I15" s="273">
        <v>31</v>
      </c>
      <c r="J15" s="273">
        <v>0</v>
      </c>
      <c r="K15" s="274">
        <v>59</v>
      </c>
      <c r="L15" s="121">
        <f t="shared" si="0"/>
        <v>175</v>
      </c>
    </row>
    <row r="16" spans="1:12" ht="11.25">
      <c r="A16" s="267" t="s">
        <v>52</v>
      </c>
      <c r="B16" s="268" t="s">
        <v>53</v>
      </c>
      <c r="C16" s="275">
        <v>984</v>
      </c>
      <c r="D16" s="276">
        <v>51</v>
      </c>
      <c r="E16" s="276">
        <v>40</v>
      </c>
      <c r="F16" s="276">
        <v>2</v>
      </c>
      <c r="G16" s="276">
        <v>227</v>
      </c>
      <c r="H16" s="276">
        <v>1</v>
      </c>
      <c r="I16" s="276">
        <v>98</v>
      </c>
      <c r="J16" s="276">
        <v>0</v>
      </c>
      <c r="K16" s="277">
        <v>564</v>
      </c>
      <c r="L16" s="113">
        <f t="shared" si="0"/>
        <v>983</v>
      </c>
    </row>
    <row r="17" spans="1:11" ht="12">
      <c r="A17" s="278"/>
      <c r="B17" s="279"/>
      <c r="C17" s="279"/>
      <c r="D17" s="279"/>
      <c r="E17" s="279"/>
      <c r="F17" s="279"/>
      <c r="G17" s="279"/>
      <c r="H17" s="279"/>
      <c r="I17" s="279"/>
      <c r="J17" s="279"/>
      <c r="K17" s="280"/>
    </row>
    <row r="18" spans="1:12" s="117" customFormat="1" ht="10.5">
      <c r="A18" s="281" t="s">
        <v>188</v>
      </c>
      <c r="B18" s="282"/>
      <c r="C18" s="283"/>
      <c r="D18" s="284">
        <f>+D26/(D12/1000)</f>
        <v>190</v>
      </c>
      <c r="E18" s="284">
        <v>80</v>
      </c>
      <c r="F18" s="284">
        <v>90</v>
      </c>
      <c r="G18" s="284">
        <v>53.06</v>
      </c>
      <c r="H18" s="284">
        <v>62.68</v>
      </c>
      <c r="I18" s="284">
        <f>+I26/(I12/1000)</f>
        <v>99.99999999999999</v>
      </c>
      <c r="J18" s="284">
        <v>93.71</v>
      </c>
      <c r="K18" s="285">
        <v>0.65</v>
      </c>
      <c r="L18" s="118"/>
    </row>
    <row r="19" spans="1:11" ht="12">
      <c r="A19" s="278"/>
      <c r="B19" s="279"/>
      <c r="C19" s="279"/>
      <c r="D19" s="279"/>
      <c r="E19" s="279"/>
      <c r="F19" s="279"/>
      <c r="G19" s="279"/>
      <c r="H19" s="279"/>
      <c r="I19" s="279"/>
      <c r="J19" s="279"/>
      <c r="K19" s="280"/>
    </row>
    <row r="20" spans="1:11" ht="12">
      <c r="A20" s="286"/>
      <c r="B20" s="287"/>
      <c r="C20" s="286"/>
      <c r="D20" s="288"/>
      <c r="E20" s="288"/>
      <c r="F20" s="289" t="s">
        <v>178</v>
      </c>
      <c r="G20" s="289"/>
      <c r="H20" s="289"/>
      <c r="I20" s="288"/>
      <c r="J20" s="288"/>
      <c r="K20" s="287"/>
    </row>
    <row r="21" spans="1:11" ht="12">
      <c r="A21" s="271" t="s">
        <v>156</v>
      </c>
      <c r="B21" s="265" t="s">
        <v>157</v>
      </c>
      <c r="C21" s="278">
        <v>134.6</v>
      </c>
      <c r="D21" s="279">
        <f>+(C21)-(SUM(E21:K21))</f>
        <v>55.84568999999999</v>
      </c>
      <c r="E21" s="279">
        <f aca="true" t="shared" si="1" ref="E21:K25">+(E7/1000)*E$18</f>
        <v>12.16</v>
      </c>
      <c r="F21" s="279">
        <f t="shared" si="1"/>
        <v>1.98</v>
      </c>
      <c r="G21" s="279">
        <f t="shared" si="1"/>
        <v>34.96654</v>
      </c>
      <c r="H21" s="279">
        <f t="shared" si="1"/>
        <v>0.56412</v>
      </c>
      <c r="I21" s="279">
        <f t="shared" si="1"/>
        <v>27.9</v>
      </c>
      <c r="J21" s="279">
        <f t="shared" si="1"/>
        <v>0</v>
      </c>
      <c r="K21" s="280">
        <f t="shared" si="1"/>
        <v>1.18365</v>
      </c>
    </row>
    <row r="22" spans="1:11" ht="12">
      <c r="A22" s="271">
        <v>321</v>
      </c>
      <c r="B22" s="265" t="s">
        <v>163</v>
      </c>
      <c r="C22" s="278">
        <f>SUM(D22:K22)</f>
        <v>19.477050000000002</v>
      </c>
      <c r="D22" s="279">
        <f>+(D8/1000)*D$18</f>
        <v>13.68</v>
      </c>
      <c r="E22" s="279">
        <f t="shared" si="1"/>
        <v>0.08</v>
      </c>
      <c r="F22" s="279">
        <f t="shared" si="1"/>
        <v>1.17</v>
      </c>
      <c r="G22" s="279">
        <f t="shared" si="1"/>
        <v>3.87338</v>
      </c>
      <c r="H22" s="279">
        <f t="shared" si="1"/>
        <v>0.25072</v>
      </c>
      <c r="I22" s="279">
        <f t="shared" si="1"/>
        <v>0.19999999999999998</v>
      </c>
      <c r="J22" s="279">
        <f t="shared" si="1"/>
        <v>0</v>
      </c>
      <c r="K22" s="280">
        <f t="shared" si="1"/>
        <v>0.22295000000000004</v>
      </c>
    </row>
    <row r="23" spans="1:11" ht="12">
      <c r="A23" s="264" t="s">
        <v>37</v>
      </c>
      <c r="B23" s="265" t="s">
        <v>38</v>
      </c>
      <c r="C23" s="278">
        <f aca="true" t="shared" si="2" ref="C23:C30">SUM(D23:K23)</f>
        <v>4.9820400000000005</v>
      </c>
      <c r="D23" s="279">
        <f>+(D9/1000)*D$18</f>
        <v>3.8000000000000003</v>
      </c>
      <c r="E23" s="279">
        <f t="shared" si="1"/>
        <v>0.08</v>
      </c>
      <c r="F23" s="279">
        <f t="shared" si="1"/>
        <v>0.54</v>
      </c>
      <c r="G23" s="279">
        <f t="shared" si="1"/>
        <v>0.47753999999999996</v>
      </c>
      <c r="H23" s="279">
        <f t="shared" si="1"/>
        <v>0</v>
      </c>
      <c r="I23" s="279">
        <f t="shared" si="1"/>
        <v>0</v>
      </c>
      <c r="J23" s="279">
        <f t="shared" si="1"/>
        <v>0</v>
      </c>
      <c r="K23" s="280">
        <f t="shared" si="1"/>
        <v>0.0845</v>
      </c>
    </row>
    <row r="24" spans="1:11" ht="12">
      <c r="A24" s="264" t="s">
        <v>39</v>
      </c>
      <c r="B24" s="265" t="s">
        <v>40</v>
      </c>
      <c r="C24" s="278">
        <f t="shared" si="2"/>
        <v>9.97804</v>
      </c>
      <c r="D24" s="279">
        <f>+(D10/1000)*D$18</f>
        <v>6.84</v>
      </c>
      <c r="E24" s="279">
        <f t="shared" si="1"/>
        <v>0</v>
      </c>
      <c r="F24" s="279">
        <f t="shared" si="1"/>
        <v>0.18</v>
      </c>
      <c r="G24" s="279">
        <f t="shared" si="1"/>
        <v>2.5468800000000003</v>
      </c>
      <c r="H24" s="279">
        <f t="shared" si="1"/>
        <v>0.12536</v>
      </c>
      <c r="I24" s="279">
        <f t="shared" si="1"/>
        <v>0.19999999999999998</v>
      </c>
      <c r="J24" s="279">
        <f t="shared" si="1"/>
        <v>0</v>
      </c>
      <c r="K24" s="280">
        <f t="shared" si="1"/>
        <v>0.0858</v>
      </c>
    </row>
    <row r="25" spans="1:11" ht="12">
      <c r="A25" s="264" t="s">
        <v>41</v>
      </c>
      <c r="B25" s="265" t="s">
        <v>42</v>
      </c>
      <c r="C25" s="278">
        <f t="shared" si="2"/>
        <v>3.77815</v>
      </c>
      <c r="D25" s="279">
        <f>+(D11/1000)*D$18</f>
        <v>2.85</v>
      </c>
      <c r="E25" s="279">
        <f t="shared" si="1"/>
        <v>0</v>
      </c>
      <c r="F25" s="279">
        <f t="shared" si="1"/>
        <v>0.18</v>
      </c>
      <c r="G25" s="279">
        <f t="shared" si="1"/>
        <v>0.6367200000000001</v>
      </c>
      <c r="H25" s="279">
        <f t="shared" si="1"/>
        <v>0.06268</v>
      </c>
      <c r="I25" s="279">
        <f t="shared" si="1"/>
        <v>0</v>
      </c>
      <c r="J25" s="279">
        <f t="shared" si="1"/>
        <v>0</v>
      </c>
      <c r="K25" s="280">
        <f t="shared" si="1"/>
        <v>0.04875</v>
      </c>
    </row>
    <row r="26" spans="1:11" ht="12">
      <c r="A26" s="264" t="s">
        <v>43</v>
      </c>
      <c r="B26" s="265" t="s">
        <v>44</v>
      </c>
      <c r="C26" s="278">
        <f t="shared" si="2"/>
        <v>118.56410000000001</v>
      </c>
      <c r="D26" s="279">
        <v>45.6</v>
      </c>
      <c r="E26" s="279">
        <f aca="true" t="shared" si="3" ref="E26:F30">+(E12/1000)*E$18</f>
        <v>12.08</v>
      </c>
      <c r="F26" s="279">
        <f t="shared" si="3"/>
        <v>0.8099999999999999</v>
      </c>
      <c r="G26" s="279">
        <v>31.1</v>
      </c>
      <c r="H26" s="279">
        <f>+(H12/1000)*H$18</f>
        <v>0.3134</v>
      </c>
      <c r="I26" s="279">
        <v>27.7</v>
      </c>
      <c r="J26" s="279">
        <f aca="true" t="shared" si="4" ref="J26:K30">+(J12/1000)*J$18</f>
        <v>0</v>
      </c>
      <c r="K26" s="280">
        <f t="shared" si="4"/>
        <v>0.9607</v>
      </c>
    </row>
    <row r="27" spans="1:11" ht="12">
      <c r="A27" s="264" t="s">
        <v>45</v>
      </c>
      <c r="B27" s="265" t="s">
        <v>46</v>
      </c>
      <c r="C27" s="278">
        <f t="shared" si="2"/>
        <v>3.6235399999999998</v>
      </c>
      <c r="D27" s="279">
        <f>+(D13/1000)*D$18</f>
        <v>0.9500000000000001</v>
      </c>
      <c r="E27" s="279">
        <f t="shared" si="3"/>
        <v>0.72</v>
      </c>
      <c r="F27" s="279">
        <f t="shared" si="3"/>
        <v>0.18</v>
      </c>
      <c r="G27" s="279">
        <f>+(G13/1000)*G$18</f>
        <v>1.2734400000000001</v>
      </c>
      <c r="H27" s="279">
        <f>+(H13/1000)*H$18</f>
        <v>0</v>
      </c>
      <c r="I27" s="279">
        <f>+(I13/1000)*I$18</f>
        <v>0.39999999999999997</v>
      </c>
      <c r="J27" s="279">
        <f t="shared" si="4"/>
        <v>0</v>
      </c>
      <c r="K27" s="280">
        <f t="shared" si="4"/>
        <v>0.10010000000000001</v>
      </c>
    </row>
    <row r="28" spans="1:11" ht="12">
      <c r="A28" s="264" t="s">
        <v>48</v>
      </c>
      <c r="B28" s="265" t="s">
        <v>49</v>
      </c>
      <c r="C28" s="278">
        <f t="shared" si="2"/>
        <v>49.57131999999999</v>
      </c>
      <c r="D28" s="279">
        <f>+(D14/1000)*D$18</f>
        <v>16.529999999999998</v>
      </c>
      <c r="E28" s="279">
        <f t="shared" si="3"/>
        <v>6.800000000000001</v>
      </c>
      <c r="F28" s="279">
        <f t="shared" si="3"/>
        <v>0.36</v>
      </c>
      <c r="G28" s="279">
        <f>+(G14/1000)*G$18</f>
        <v>12.256860000000001</v>
      </c>
      <c r="H28" s="279">
        <f>+(H14/1000)*H$18</f>
        <v>0.12536</v>
      </c>
      <c r="I28" s="279">
        <f>+(I14/1000)*I$18</f>
        <v>13.099999999999998</v>
      </c>
      <c r="J28" s="279">
        <f t="shared" si="4"/>
        <v>0</v>
      </c>
      <c r="K28" s="280">
        <f t="shared" si="4"/>
        <v>0.3991</v>
      </c>
    </row>
    <row r="29" spans="1:11" ht="12">
      <c r="A29" s="264" t="s">
        <v>50</v>
      </c>
      <c r="B29" s="265" t="s">
        <v>51</v>
      </c>
      <c r="C29" s="278">
        <f t="shared" si="2"/>
        <v>14.801409999999999</v>
      </c>
      <c r="D29" s="279">
        <f>+(D15/1000)*D$18</f>
        <v>9.5</v>
      </c>
      <c r="E29" s="279">
        <f t="shared" si="3"/>
        <v>0.8799999999999999</v>
      </c>
      <c r="F29" s="279">
        <f t="shared" si="3"/>
        <v>0</v>
      </c>
      <c r="G29" s="279">
        <f>+(G15/1000)*G$18</f>
        <v>1.22038</v>
      </c>
      <c r="H29" s="279">
        <f>+(H15/1000)*H$18</f>
        <v>0.06268</v>
      </c>
      <c r="I29" s="279">
        <f>+(I15/1000)*I$18</f>
        <v>3.0999999999999996</v>
      </c>
      <c r="J29" s="279">
        <f t="shared" si="4"/>
        <v>0</v>
      </c>
      <c r="K29" s="280">
        <f t="shared" si="4"/>
        <v>0.03835</v>
      </c>
    </row>
    <row r="30" spans="1:11" ht="12">
      <c r="A30" s="267" t="s">
        <v>52</v>
      </c>
      <c r="B30" s="268" t="s">
        <v>53</v>
      </c>
      <c r="C30" s="290">
        <f t="shared" si="2"/>
        <v>35.3439</v>
      </c>
      <c r="D30" s="291">
        <f>+(D16/1000)*D$18</f>
        <v>9.69</v>
      </c>
      <c r="E30" s="291">
        <f t="shared" si="3"/>
        <v>3.2</v>
      </c>
      <c r="F30" s="291">
        <f t="shared" si="3"/>
        <v>0.18</v>
      </c>
      <c r="G30" s="291">
        <f>+(G16/1000)*G$18</f>
        <v>12.04462</v>
      </c>
      <c r="H30" s="291">
        <f>+(H16/1000)*H$18</f>
        <v>0.06268</v>
      </c>
      <c r="I30" s="291">
        <f>+(I16/1000)*I$18</f>
        <v>9.799999999999999</v>
      </c>
      <c r="J30" s="291">
        <f t="shared" si="4"/>
        <v>0</v>
      </c>
      <c r="K30" s="292">
        <f t="shared" si="4"/>
        <v>0.3666</v>
      </c>
    </row>
    <row r="31" spans="1:11" ht="12">
      <c r="A31" s="283"/>
      <c r="B31" s="283"/>
      <c r="C31" s="279"/>
      <c r="D31" s="293"/>
      <c r="E31" s="293"/>
      <c r="F31" s="293"/>
      <c r="G31" s="293"/>
      <c r="H31" s="293"/>
      <c r="I31" s="293"/>
      <c r="J31" s="293"/>
      <c r="K31" s="293"/>
    </row>
    <row r="32" spans="1:11" ht="12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</row>
    <row r="33" spans="1:11" ht="12">
      <c r="A33" s="293"/>
      <c r="B33" s="293" t="s">
        <v>224</v>
      </c>
      <c r="C33" s="293"/>
      <c r="D33" s="293"/>
      <c r="E33" s="293"/>
      <c r="F33" s="293"/>
      <c r="G33" s="293"/>
      <c r="H33" s="293"/>
      <c r="I33" s="293"/>
      <c r="J33" s="293"/>
      <c r="K33" s="293"/>
    </row>
    <row r="34" spans="1:11" ht="12">
      <c r="A34" s="293"/>
      <c r="B34" s="293" t="s">
        <v>223</v>
      </c>
      <c r="C34" s="293"/>
      <c r="D34" s="293"/>
      <c r="E34" s="293"/>
      <c r="F34" s="293"/>
      <c r="G34" s="293"/>
      <c r="H34" s="293"/>
      <c r="I34" s="293"/>
      <c r="J34" s="293"/>
      <c r="K34" s="293"/>
    </row>
  </sheetData>
  <mergeCells count="5">
    <mergeCell ref="A18:B18"/>
    <mergeCell ref="F6:H6"/>
    <mergeCell ref="F20:H20"/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7">
      <selection activeCell="B19" sqref="B19"/>
    </sheetView>
  </sheetViews>
  <sheetFormatPr defaultColWidth="9.140625" defaultRowHeight="12.75"/>
  <cols>
    <col min="1" max="1" width="9.140625" style="53" customWidth="1"/>
    <col min="2" max="2" width="20.8515625" style="53" bestFit="1" customWidth="1"/>
    <col min="3" max="11" width="9.140625" style="53" customWidth="1"/>
    <col min="12" max="12" width="0" style="53" hidden="1" customWidth="1"/>
    <col min="13" max="16384" width="9.140625" style="53" customWidth="1"/>
  </cols>
  <sheetData>
    <row r="1" spans="1:11" ht="11.25">
      <c r="A1" s="235" t="s">
        <v>228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1.25">
      <c r="A2" s="242" t="s">
        <v>200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2" ht="11.25">
      <c r="A3" s="2"/>
      <c r="B3" s="3"/>
      <c r="C3" s="4" t="s">
        <v>0</v>
      </c>
      <c r="D3" s="5"/>
      <c r="E3" s="6" t="s">
        <v>0</v>
      </c>
      <c r="F3" s="6" t="s">
        <v>0</v>
      </c>
      <c r="G3" s="5"/>
      <c r="H3" s="6" t="s">
        <v>0</v>
      </c>
      <c r="I3" s="6" t="s">
        <v>0</v>
      </c>
      <c r="J3" s="5"/>
      <c r="K3" s="7" t="s">
        <v>0</v>
      </c>
      <c r="L3" s="153"/>
    </row>
    <row r="4" spans="1:12" ht="11.25">
      <c r="A4" s="8" t="s">
        <v>2</v>
      </c>
      <c r="B4" s="9" t="s">
        <v>3</v>
      </c>
      <c r="C4" s="10"/>
      <c r="D4" s="11" t="s">
        <v>4</v>
      </c>
      <c r="E4" s="11" t="s">
        <v>5</v>
      </c>
      <c r="F4" s="11" t="s">
        <v>6</v>
      </c>
      <c r="G4" s="14" t="s">
        <v>9</v>
      </c>
      <c r="H4" s="11" t="s">
        <v>7</v>
      </c>
      <c r="I4" s="12"/>
      <c r="J4" s="11" t="s">
        <v>8</v>
      </c>
      <c r="K4" s="13" t="s">
        <v>0</v>
      </c>
      <c r="L4" s="160" t="s">
        <v>166</v>
      </c>
    </row>
    <row r="5" spans="1:12" ht="11.25">
      <c r="A5" s="10"/>
      <c r="B5" s="15"/>
      <c r="C5" s="16" t="s">
        <v>166</v>
      </c>
      <c r="D5" s="11" t="s">
        <v>174</v>
      </c>
      <c r="E5" s="11" t="s">
        <v>10</v>
      </c>
      <c r="F5" s="11" t="s">
        <v>10</v>
      </c>
      <c r="G5" s="11" t="s">
        <v>172</v>
      </c>
      <c r="H5" s="11" t="s">
        <v>175</v>
      </c>
      <c r="I5" s="11" t="s">
        <v>11</v>
      </c>
      <c r="J5" s="11" t="s">
        <v>12</v>
      </c>
      <c r="K5" s="13" t="s">
        <v>176</v>
      </c>
      <c r="L5" s="160" t="s">
        <v>167</v>
      </c>
    </row>
    <row r="6" spans="1:12" ht="11.25">
      <c r="A6" s="17"/>
      <c r="B6" s="18"/>
      <c r="C6" s="17"/>
      <c r="D6" s="19"/>
      <c r="E6" s="19"/>
      <c r="F6" s="232" t="s">
        <v>177</v>
      </c>
      <c r="G6" s="232"/>
      <c r="H6" s="232"/>
      <c r="I6" s="19"/>
      <c r="J6" s="19"/>
      <c r="K6" s="18"/>
      <c r="L6" s="162"/>
    </row>
    <row r="7" spans="1:12" ht="11.25">
      <c r="A7" s="44" t="s">
        <v>56</v>
      </c>
      <c r="B7" s="15" t="s">
        <v>57</v>
      </c>
      <c r="C7" s="20">
        <v>7320</v>
      </c>
      <c r="D7" s="21">
        <v>126</v>
      </c>
      <c r="E7" s="21">
        <v>72</v>
      </c>
      <c r="F7" s="21">
        <v>28</v>
      </c>
      <c r="G7" s="21">
        <v>1007</v>
      </c>
      <c r="H7" s="21">
        <v>39</v>
      </c>
      <c r="I7" s="21">
        <v>12</v>
      </c>
      <c r="J7" s="21">
        <v>0</v>
      </c>
      <c r="K7" s="22">
        <v>6082</v>
      </c>
      <c r="L7" s="209">
        <f>SUM(D7:K7)</f>
        <v>7366</v>
      </c>
    </row>
    <row r="8" spans="1:12" ht="11.25">
      <c r="A8" s="47" t="s">
        <v>58</v>
      </c>
      <c r="B8" s="18" t="s">
        <v>59</v>
      </c>
      <c r="C8" s="29">
        <v>7130</v>
      </c>
      <c r="D8" s="30">
        <v>118</v>
      </c>
      <c r="E8" s="30">
        <v>70</v>
      </c>
      <c r="F8" s="30">
        <v>4</v>
      </c>
      <c r="G8" s="30">
        <v>948</v>
      </c>
      <c r="H8" s="30">
        <v>33</v>
      </c>
      <c r="I8" s="30">
        <v>0</v>
      </c>
      <c r="J8" s="30">
        <v>0</v>
      </c>
      <c r="K8" s="31">
        <v>5957</v>
      </c>
      <c r="L8" s="210">
        <f>SUM(D8:K8)</f>
        <v>7130</v>
      </c>
    </row>
    <row r="9" spans="1:11" ht="11.25">
      <c r="A9" s="64"/>
      <c r="B9" s="62"/>
      <c r="C9" s="62"/>
      <c r="D9" s="62"/>
      <c r="E9" s="62"/>
      <c r="F9" s="62"/>
      <c r="G9" s="62"/>
      <c r="H9" s="62"/>
      <c r="I9" s="62"/>
      <c r="J9" s="62"/>
      <c r="K9" s="161"/>
    </row>
    <row r="10" spans="1:12" s="33" customFormat="1" ht="10.5">
      <c r="A10" s="233" t="s">
        <v>188</v>
      </c>
      <c r="B10" s="234"/>
      <c r="C10" s="204"/>
      <c r="D10" s="205">
        <f>+D13/(D7/1000)</f>
        <v>181.74603174603175</v>
      </c>
      <c r="E10" s="205">
        <v>70</v>
      </c>
      <c r="F10" s="205">
        <v>73.15</v>
      </c>
      <c r="G10" s="205">
        <f>+G13/(G7/1000)</f>
        <v>52.83018867924529</v>
      </c>
      <c r="H10" s="205">
        <v>62.68</v>
      </c>
      <c r="I10" s="205">
        <v>93.98</v>
      </c>
      <c r="J10" s="205">
        <v>93.71</v>
      </c>
      <c r="K10" s="206">
        <f>+K17/(K7/1000)</f>
        <v>38.600341992765536</v>
      </c>
      <c r="L10" s="34"/>
    </row>
    <row r="11" spans="1:11" ht="11.25">
      <c r="A11" s="64"/>
      <c r="B11" s="62"/>
      <c r="C11" s="62"/>
      <c r="D11" s="62"/>
      <c r="E11" s="62"/>
      <c r="F11" s="62"/>
      <c r="G11" s="62"/>
      <c r="H11" s="62"/>
      <c r="I11" s="62"/>
      <c r="J11" s="62"/>
      <c r="K11" s="161"/>
    </row>
    <row r="12" spans="1:11" ht="11.25">
      <c r="A12" s="59"/>
      <c r="B12" s="60"/>
      <c r="C12" s="59"/>
      <c r="D12" s="60"/>
      <c r="E12" s="60"/>
      <c r="F12" s="241" t="s">
        <v>178</v>
      </c>
      <c r="G12" s="241"/>
      <c r="H12" s="241"/>
      <c r="I12" s="60"/>
      <c r="J12" s="60"/>
      <c r="K12" s="153"/>
    </row>
    <row r="13" spans="1:11" ht="11.25">
      <c r="A13" s="44" t="s">
        <v>56</v>
      </c>
      <c r="B13" s="12" t="s">
        <v>57</v>
      </c>
      <c r="C13" s="165">
        <v>320.4</v>
      </c>
      <c r="D13" s="61">
        <v>22.9</v>
      </c>
      <c r="E13" s="61">
        <f>+(E7/1000)*E$10</f>
        <v>5.04</v>
      </c>
      <c r="F13" s="61">
        <f>+(F7/1000)*F$10</f>
        <v>2.0482</v>
      </c>
      <c r="G13" s="61">
        <v>53.2</v>
      </c>
      <c r="H13" s="61">
        <f>+(H7/1000)*H$10</f>
        <v>2.44452</v>
      </c>
      <c r="I13" s="61">
        <v>0</v>
      </c>
      <c r="J13" s="61">
        <f>+(J7/1000)*J$10</f>
        <v>0</v>
      </c>
      <c r="K13" s="70">
        <f>+(K7/1000)*K$10</f>
        <v>234.76727999999997</v>
      </c>
    </row>
    <row r="14" spans="1:11" s="80" customFormat="1" ht="11.25">
      <c r="A14" s="77" t="s">
        <v>58</v>
      </c>
      <c r="B14" s="166" t="s">
        <v>59</v>
      </c>
      <c r="C14" s="90">
        <f>SUM(D14:K14)</f>
        <v>308.73232786486057</v>
      </c>
      <c r="D14" s="78">
        <f>+(D8/1000)*D$10</f>
        <v>21.446031746031746</v>
      </c>
      <c r="E14" s="78">
        <f>+(E8/1000)*E$10</f>
        <v>4.9</v>
      </c>
      <c r="F14" s="78">
        <f>+(F8/1000)*F$10</f>
        <v>0.2926</v>
      </c>
      <c r="G14" s="78">
        <f>+(G8/1000)*G$10</f>
        <v>50.08301886792453</v>
      </c>
      <c r="H14" s="78">
        <f>+(H8/1000)*H$10</f>
        <v>2.0684400000000003</v>
      </c>
      <c r="I14" s="78">
        <f>+(I8/1000)*I$10</f>
        <v>0</v>
      </c>
      <c r="J14" s="78">
        <f>+(J8/1000)*J$10</f>
        <v>0</v>
      </c>
      <c r="K14" s="79">
        <f>+(K8/1000)*K$10</f>
        <v>229.9422372509043</v>
      </c>
    </row>
    <row r="16" spans="11:12" ht="11.25" hidden="1">
      <c r="K16" s="53">
        <f>69.5+174.8</f>
        <v>244.3</v>
      </c>
      <c r="L16" s="53" t="s">
        <v>184</v>
      </c>
    </row>
    <row r="17" spans="11:12" ht="11.25" hidden="1">
      <c r="K17" s="81">
        <f>+K16-E13-F13-H13-J13</f>
        <v>234.76728</v>
      </c>
      <c r="L17" s="53" t="s">
        <v>186</v>
      </c>
    </row>
    <row r="18" ht="11.25">
      <c r="B18" s="53" t="s">
        <v>182</v>
      </c>
    </row>
    <row r="19" ht="11.25">
      <c r="B19" s="53" t="s">
        <v>183</v>
      </c>
    </row>
    <row r="21" ht="11.25" hidden="1">
      <c r="D21" s="53" t="s">
        <v>185</v>
      </c>
    </row>
    <row r="22" ht="11.25" hidden="1">
      <c r="D22" s="53" t="s">
        <v>187</v>
      </c>
    </row>
  </sheetData>
  <mergeCells count="5">
    <mergeCell ref="A10:B10"/>
    <mergeCell ref="F6:H6"/>
    <mergeCell ref="F12:H12"/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3">
      <selection activeCell="C41" sqref="C41"/>
    </sheetView>
  </sheetViews>
  <sheetFormatPr defaultColWidth="9.140625" defaultRowHeight="12.75"/>
  <cols>
    <col min="1" max="1" width="9.140625" style="53" customWidth="1"/>
    <col min="2" max="2" width="24.57421875" style="53" bestFit="1" customWidth="1"/>
    <col min="3" max="6" width="9.140625" style="53" customWidth="1"/>
    <col min="7" max="7" width="10.7109375" style="53" bestFit="1" customWidth="1"/>
    <col min="8" max="9" width="9.140625" style="53" customWidth="1"/>
    <col min="10" max="10" width="7.57421875" style="53" bestFit="1" customWidth="1"/>
    <col min="11" max="11" width="6.421875" style="53" bestFit="1" customWidth="1"/>
    <col min="12" max="12" width="14.140625" style="53" hidden="1" customWidth="1"/>
    <col min="13" max="13" width="0" style="53" hidden="1" customWidth="1"/>
    <col min="14" max="16384" width="9.140625" style="53" customWidth="1"/>
  </cols>
  <sheetData>
    <row r="1" spans="1:11" ht="11.25">
      <c r="A1" s="235" t="s">
        <v>227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1.25">
      <c r="A2" s="242" t="s">
        <v>200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3" ht="11.25">
      <c r="A3" s="59"/>
      <c r="B3" s="60"/>
      <c r="C3" s="2"/>
      <c r="D3" s="6" t="s">
        <v>4</v>
      </c>
      <c r="E3" s="6" t="s">
        <v>5</v>
      </c>
      <c r="F3" s="6" t="s">
        <v>6</v>
      </c>
      <c r="G3" s="152" t="s">
        <v>9</v>
      </c>
      <c r="H3" s="6" t="s">
        <v>7</v>
      </c>
      <c r="I3" s="5"/>
      <c r="J3" s="6" t="s">
        <v>8</v>
      </c>
      <c r="K3" s="7" t="s">
        <v>0</v>
      </c>
      <c r="L3" s="174" t="s">
        <v>1</v>
      </c>
      <c r="M3" s="124" t="s">
        <v>190</v>
      </c>
    </row>
    <row r="4" spans="1:13" ht="11.25">
      <c r="A4" s="8" t="s">
        <v>2</v>
      </c>
      <c r="B4" s="9" t="s">
        <v>3</v>
      </c>
      <c r="C4" s="16" t="s">
        <v>166</v>
      </c>
      <c r="D4" s="11" t="s">
        <v>174</v>
      </c>
      <c r="E4" s="11" t="s">
        <v>10</v>
      </c>
      <c r="F4" s="11" t="s">
        <v>10</v>
      </c>
      <c r="G4" s="11" t="s">
        <v>172</v>
      </c>
      <c r="H4" s="11" t="s">
        <v>175</v>
      </c>
      <c r="I4" s="11" t="s">
        <v>11</v>
      </c>
      <c r="J4" s="11" t="s">
        <v>12</v>
      </c>
      <c r="K4" s="13" t="s">
        <v>176</v>
      </c>
      <c r="L4" s="170" t="s">
        <v>170</v>
      </c>
      <c r="M4" s="104" t="s">
        <v>166</v>
      </c>
    </row>
    <row r="5" spans="1:13" ht="12.75" customHeight="1">
      <c r="A5" s="17"/>
      <c r="B5" s="18"/>
      <c r="C5" s="17"/>
      <c r="D5" s="19"/>
      <c r="E5" s="19"/>
      <c r="F5" s="232" t="s">
        <v>177</v>
      </c>
      <c r="G5" s="232"/>
      <c r="H5" s="232"/>
      <c r="I5" s="181"/>
      <c r="J5" s="19"/>
      <c r="K5" s="18"/>
      <c r="L5" s="171" t="s">
        <v>171</v>
      </c>
      <c r="M5" s="172" t="s">
        <v>167</v>
      </c>
    </row>
    <row r="6" spans="1:13" ht="11.25">
      <c r="A6" s="35" t="s">
        <v>62</v>
      </c>
      <c r="B6" s="36" t="s">
        <v>63</v>
      </c>
      <c r="C6" s="20">
        <v>6064</v>
      </c>
      <c r="D6" s="21">
        <v>577</v>
      </c>
      <c r="E6" s="21">
        <v>98</v>
      </c>
      <c r="F6" s="21">
        <v>10</v>
      </c>
      <c r="G6" s="21">
        <v>2709</v>
      </c>
      <c r="H6" s="21">
        <v>1796</v>
      </c>
      <c r="I6" s="21">
        <v>300</v>
      </c>
      <c r="J6" s="21">
        <v>7</v>
      </c>
      <c r="K6" s="22">
        <v>677</v>
      </c>
      <c r="L6" s="22">
        <v>110</v>
      </c>
      <c r="M6" s="106">
        <f aca="true" t="shared" si="0" ref="M6:M19">SUM(D6:K6)-L6</f>
        <v>6064</v>
      </c>
    </row>
    <row r="7" spans="1:13" ht="11.25">
      <c r="A7" s="23" t="s">
        <v>64</v>
      </c>
      <c r="B7" s="24" t="s">
        <v>65</v>
      </c>
      <c r="C7" s="20">
        <v>723</v>
      </c>
      <c r="D7" s="21">
        <v>8</v>
      </c>
      <c r="E7" s="21">
        <v>0</v>
      </c>
      <c r="F7" s="21">
        <v>0</v>
      </c>
      <c r="G7" s="21">
        <v>0</v>
      </c>
      <c r="H7" s="21">
        <v>222</v>
      </c>
      <c r="I7" s="21">
        <v>0</v>
      </c>
      <c r="J7" s="21">
        <v>0</v>
      </c>
      <c r="K7" s="22">
        <v>0</v>
      </c>
      <c r="L7" s="22">
        <v>54</v>
      </c>
      <c r="M7" s="168">
        <f t="shared" si="0"/>
        <v>176</v>
      </c>
    </row>
    <row r="8" spans="1:13" ht="11.25">
      <c r="A8" s="23" t="s">
        <v>66</v>
      </c>
      <c r="B8" s="24" t="s">
        <v>67</v>
      </c>
      <c r="C8" s="20">
        <v>226</v>
      </c>
      <c r="D8" s="21">
        <v>111</v>
      </c>
      <c r="E8" s="21">
        <v>0</v>
      </c>
      <c r="F8" s="21">
        <v>0</v>
      </c>
      <c r="G8" s="21">
        <v>105</v>
      </c>
      <c r="H8" s="21">
        <v>0</v>
      </c>
      <c r="I8" s="21">
        <v>0</v>
      </c>
      <c r="J8" s="21">
        <v>1</v>
      </c>
      <c r="K8" s="22">
        <v>9</v>
      </c>
      <c r="L8" s="22">
        <v>0</v>
      </c>
      <c r="M8" s="105">
        <f t="shared" si="0"/>
        <v>226</v>
      </c>
    </row>
    <row r="9" spans="1:13" ht="11.25">
      <c r="A9" s="23" t="s">
        <v>68</v>
      </c>
      <c r="B9" s="24" t="s">
        <v>69</v>
      </c>
      <c r="C9" s="20">
        <v>172</v>
      </c>
      <c r="D9" s="21">
        <v>50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0</v>
      </c>
      <c r="L9" s="22">
        <v>0</v>
      </c>
      <c r="M9" s="168">
        <f t="shared" si="0"/>
        <v>50</v>
      </c>
    </row>
    <row r="10" spans="1:13" ht="11.25">
      <c r="A10" s="23" t="s">
        <v>70</v>
      </c>
      <c r="B10" s="24" t="s">
        <v>71</v>
      </c>
      <c r="C10" s="44" t="s">
        <v>159</v>
      </c>
      <c r="D10" s="14" t="s">
        <v>159</v>
      </c>
      <c r="E10" s="14" t="s">
        <v>159</v>
      </c>
      <c r="F10" s="14" t="s">
        <v>159</v>
      </c>
      <c r="G10" s="14" t="s">
        <v>159</v>
      </c>
      <c r="H10" s="14" t="s">
        <v>159</v>
      </c>
      <c r="I10" s="14" t="s">
        <v>159</v>
      </c>
      <c r="J10" s="14" t="s">
        <v>159</v>
      </c>
      <c r="K10" s="170" t="s">
        <v>159</v>
      </c>
      <c r="L10" s="170" t="s">
        <v>159</v>
      </c>
      <c r="M10" s="105"/>
    </row>
    <row r="11" spans="1:13" ht="11.25">
      <c r="A11" s="23" t="s">
        <v>72</v>
      </c>
      <c r="B11" s="24" t="s">
        <v>73</v>
      </c>
      <c r="C11" s="20">
        <v>293</v>
      </c>
      <c r="D11" s="21">
        <v>107</v>
      </c>
      <c r="E11" s="21">
        <v>2</v>
      </c>
      <c r="F11" s="21">
        <v>0</v>
      </c>
      <c r="G11" s="21">
        <v>102</v>
      </c>
      <c r="H11" s="21">
        <v>0</v>
      </c>
      <c r="I11" s="21">
        <v>0</v>
      </c>
      <c r="J11" s="21">
        <v>3</v>
      </c>
      <c r="K11" s="22">
        <v>22</v>
      </c>
      <c r="L11" s="22">
        <v>0</v>
      </c>
      <c r="M11" s="168">
        <f t="shared" si="0"/>
        <v>236</v>
      </c>
    </row>
    <row r="12" spans="1:13" ht="11.25">
      <c r="A12" s="23" t="s">
        <v>74</v>
      </c>
      <c r="B12" s="24" t="s">
        <v>75</v>
      </c>
      <c r="C12" s="20">
        <v>94</v>
      </c>
      <c r="D12" s="21">
        <v>7</v>
      </c>
      <c r="E12" s="21">
        <v>3</v>
      </c>
      <c r="F12" s="21">
        <v>1</v>
      </c>
      <c r="G12" s="21">
        <v>50</v>
      </c>
      <c r="H12" s="21">
        <v>2</v>
      </c>
      <c r="I12" s="21">
        <v>5</v>
      </c>
      <c r="J12" s="21">
        <v>0</v>
      </c>
      <c r="K12" s="22">
        <v>26</v>
      </c>
      <c r="L12" s="22">
        <v>0</v>
      </c>
      <c r="M12" s="173">
        <f t="shared" si="0"/>
        <v>94</v>
      </c>
    </row>
    <row r="13" spans="1:13" ht="11.25">
      <c r="A13" s="23" t="s">
        <v>76</v>
      </c>
      <c r="B13" s="24" t="s">
        <v>77</v>
      </c>
      <c r="C13" s="44" t="s">
        <v>159</v>
      </c>
      <c r="D13" s="14" t="s">
        <v>159</v>
      </c>
      <c r="E13" s="14" t="s">
        <v>159</v>
      </c>
      <c r="F13" s="14" t="s">
        <v>159</v>
      </c>
      <c r="G13" s="14" t="s">
        <v>159</v>
      </c>
      <c r="H13" s="14" t="s">
        <v>159</v>
      </c>
      <c r="I13" s="14" t="s">
        <v>159</v>
      </c>
      <c r="J13" s="14" t="s">
        <v>159</v>
      </c>
      <c r="K13" s="170" t="s">
        <v>159</v>
      </c>
      <c r="L13" s="170" t="s">
        <v>159</v>
      </c>
      <c r="M13" s="105"/>
    </row>
    <row r="14" spans="1:13" ht="11.25">
      <c r="A14" s="23" t="s">
        <v>78</v>
      </c>
      <c r="B14" s="24" t="s">
        <v>79</v>
      </c>
      <c r="C14" s="20">
        <v>1740</v>
      </c>
      <c r="D14" s="21">
        <v>73</v>
      </c>
      <c r="E14" s="21">
        <v>3</v>
      </c>
      <c r="F14" s="21">
        <v>0</v>
      </c>
      <c r="G14" s="21">
        <v>782</v>
      </c>
      <c r="H14" s="21">
        <v>639</v>
      </c>
      <c r="I14" s="21">
        <v>0</v>
      </c>
      <c r="J14" s="21">
        <v>0</v>
      </c>
      <c r="K14" s="22">
        <v>201</v>
      </c>
      <c r="L14" s="22">
        <v>36</v>
      </c>
      <c r="M14" s="105">
        <f t="shared" si="0"/>
        <v>1662</v>
      </c>
    </row>
    <row r="15" spans="1:13" ht="11.25">
      <c r="A15" s="23" t="s">
        <v>80</v>
      </c>
      <c r="B15" s="24" t="s">
        <v>81</v>
      </c>
      <c r="C15" s="20">
        <v>1067</v>
      </c>
      <c r="D15" s="21">
        <v>66</v>
      </c>
      <c r="E15" s="21">
        <v>2</v>
      </c>
      <c r="F15" s="21">
        <v>1</v>
      </c>
      <c r="G15" s="21">
        <v>259</v>
      </c>
      <c r="H15" s="21">
        <v>675</v>
      </c>
      <c r="I15" s="21">
        <v>17</v>
      </c>
      <c r="J15" s="21">
        <v>0</v>
      </c>
      <c r="K15" s="22">
        <v>60</v>
      </c>
      <c r="L15" s="22">
        <v>13</v>
      </c>
      <c r="M15" s="105">
        <f t="shared" si="0"/>
        <v>1067</v>
      </c>
    </row>
    <row r="16" spans="1:13" ht="11.25">
      <c r="A16" s="23" t="s">
        <v>82</v>
      </c>
      <c r="B16" s="24" t="s">
        <v>83</v>
      </c>
      <c r="C16" s="20">
        <v>307</v>
      </c>
      <c r="D16" s="21">
        <v>8</v>
      </c>
      <c r="E16" s="21">
        <v>0</v>
      </c>
      <c r="F16" s="21">
        <v>0</v>
      </c>
      <c r="G16" s="21">
        <v>0</v>
      </c>
      <c r="H16" s="21">
        <v>238</v>
      </c>
      <c r="I16" s="21">
        <v>0</v>
      </c>
      <c r="J16" s="21">
        <v>0</v>
      </c>
      <c r="K16" s="22">
        <v>12</v>
      </c>
      <c r="L16" s="22">
        <v>7</v>
      </c>
      <c r="M16" s="168">
        <f t="shared" si="0"/>
        <v>251</v>
      </c>
    </row>
    <row r="17" spans="1:13" ht="11.25">
      <c r="A17" s="23" t="s">
        <v>84</v>
      </c>
      <c r="B17" s="24" t="s">
        <v>85</v>
      </c>
      <c r="C17" s="20">
        <v>107</v>
      </c>
      <c r="D17" s="21">
        <v>24</v>
      </c>
      <c r="E17" s="21">
        <v>4</v>
      </c>
      <c r="F17" s="21">
        <v>0</v>
      </c>
      <c r="G17" s="21">
        <v>0</v>
      </c>
      <c r="H17" s="21">
        <v>0</v>
      </c>
      <c r="I17" s="21">
        <v>26</v>
      </c>
      <c r="J17" s="21">
        <v>0</v>
      </c>
      <c r="K17" s="22">
        <v>7</v>
      </c>
      <c r="L17" s="22">
        <v>0</v>
      </c>
      <c r="M17" s="168">
        <f t="shared" si="0"/>
        <v>61</v>
      </c>
    </row>
    <row r="18" spans="1:13" ht="11.25">
      <c r="A18" s="23" t="s">
        <v>86</v>
      </c>
      <c r="B18" s="24" t="s">
        <v>87</v>
      </c>
      <c r="C18" s="20">
        <v>592</v>
      </c>
      <c r="D18" s="21">
        <v>13</v>
      </c>
      <c r="E18" s="21">
        <v>0</v>
      </c>
      <c r="F18" s="21">
        <v>0</v>
      </c>
      <c r="G18" s="21">
        <v>572</v>
      </c>
      <c r="H18" s="21">
        <v>0</v>
      </c>
      <c r="I18" s="21">
        <v>0</v>
      </c>
      <c r="J18" s="21">
        <v>0</v>
      </c>
      <c r="K18" s="22">
        <v>6</v>
      </c>
      <c r="L18" s="22">
        <v>0</v>
      </c>
      <c r="M18" s="105">
        <f t="shared" si="0"/>
        <v>591</v>
      </c>
    </row>
    <row r="19" spans="1:13" ht="11.25">
      <c r="A19" s="23" t="s">
        <v>88</v>
      </c>
      <c r="B19" s="24" t="s">
        <v>89</v>
      </c>
      <c r="C19" s="20">
        <v>90</v>
      </c>
      <c r="D19" s="21">
        <v>5</v>
      </c>
      <c r="E19" s="21">
        <v>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2">
        <v>22</v>
      </c>
      <c r="L19" s="22">
        <v>0</v>
      </c>
      <c r="M19" s="168">
        <f t="shared" si="0"/>
        <v>28</v>
      </c>
    </row>
    <row r="20" spans="1:13" ht="11.25">
      <c r="A20" s="23" t="s">
        <v>90</v>
      </c>
      <c r="B20" s="24" t="s">
        <v>91</v>
      </c>
      <c r="C20" s="44" t="s">
        <v>159</v>
      </c>
      <c r="D20" s="14" t="s">
        <v>159</v>
      </c>
      <c r="E20" s="14" t="s">
        <v>159</v>
      </c>
      <c r="F20" s="14" t="s">
        <v>159</v>
      </c>
      <c r="G20" s="14" t="s">
        <v>159</v>
      </c>
      <c r="H20" s="14" t="s">
        <v>159</v>
      </c>
      <c r="I20" s="14" t="s">
        <v>159</v>
      </c>
      <c r="J20" s="14" t="s">
        <v>159</v>
      </c>
      <c r="K20" s="170" t="s">
        <v>159</v>
      </c>
      <c r="L20" s="170" t="s">
        <v>159</v>
      </c>
      <c r="M20" s="105"/>
    </row>
    <row r="21" spans="1:13" ht="11.25">
      <c r="A21" s="23" t="s">
        <v>92</v>
      </c>
      <c r="B21" s="24" t="s">
        <v>93</v>
      </c>
      <c r="C21" s="44" t="s">
        <v>159</v>
      </c>
      <c r="D21" s="14" t="s">
        <v>159</v>
      </c>
      <c r="E21" s="14" t="s">
        <v>159</v>
      </c>
      <c r="F21" s="14" t="s">
        <v>159</v>
      </c>
      <c r="G21" s="14" t="s">
        <v>159</v>
      </c>
      <c r="H21" s="14" t="s">
        <v>159</v>
      </c>
      <c r="I21" s="14" t="s">
        <v>159</v>
      </c>
      <c r="J21" s="14" t="s">
        <v>159</v>
      </c>
      <c r="K21" s="170" t="s">
        <v>159</v>
      </c>
      <c r="L21" s="170" t="s">
        <v>159</v>
      </c>
      <c r="M21" s="105"/>
    </row>
    <row r="22" spans="1:13" ht="11.25">
      <c r="A22" s="27" t="s">
        <v>94</v>
      </c>
      <c r="B22" s="28" t="s">
        <v>95</v>
      </c>
      <c r="C22" s="47" t="s">
        <v>159</v>
      </c>
      <c r="D22" s="164" t="s">
        <v>159</v>
      </c>
      <c r="E22" s="164" t="s">
        <v>159</v>
      </c>
      <c r="F22" s="164" t="s">
        <v>159</v>
      </c>
      <c r="G22" s="164" t="s">
        <v>159</v>
      </c>
      <c r="H22" s="164" t="s">
        <v>159</v>
      </c>
      <c r="I22" s="164" t="s">
        <v>159</v>
      </c>
      <c r="J22" s="164" t="s">
        <v>159</v>
      </c>
      <c r="K22" s="171" t="s">
        <v>159</v>
      </c>
      <c r="L22" s="171" t="s">
        <v>159</v>
      </c>
      <c r="M22" s="107"/>
    </row>
    <row r="23" spans="1:13" ht="11.25">
      <c r="A23" s="233" t="s">
        <v>188</v>
      </c>
      <c r="B23" s="234"/>
      <c r="C23" s="21"/>
      <c r="D23" s="21"/>
      <c r="E23" s="21"/>
      <c r="F23" s="21"/>
      <c r="G23" s="21"/>
      <c r="H23" s="21"/>
      <c r="I23" s="21"/>
      <c r="J23" s="21"/>
      <c r="K23" s="22"/>
      <c r="L23" s="21"/>
      <c r="M23" s="167"/>
    </row>
    <row r="24" spans="1:12" s="33" customFormat="1" ht="10.5">
      <c r="A24" s="211"/>
      <c r="B24" s="204" t="s">
        <v>201</v>
      </c>
      <c r="C24" s="204"/>
      <c r="D24" s="205">
        <f>+D28/(D$6/1000)</f>
        <v>178.85615251299828</v>
      </c>
      <c r="E24" s="205">
        <v>34</v>
      </c>
      <c r="F24" s="205">
        <v>34</v>
      </c>
      <c r="G24" s="205">
        <f>+G28/(G$6/1000)</f>
        <v>47.1391657438169</v>
      </c>
      <c r="H24" s="205">
        <v>34</v>
      </c>
      <c r="I24" s="205">
        <f>+I28/(I$6/1000)</f>
        <v>89.66666666666667</v>
      </c>
      <c r="J24" s="205">
        <v>34</v>
      </c>
      <c r="K24" s="206">
        <f>+K28/(K6/1000)</f>
        <v>7.23781388478582</v>
      </c>
      <c r="L24" s="34">
        <v>65</v>
      </c>
    </row>
    <row r="25" spans="1:12" s="33" customFormat="1" ht="10.5">
      <c r="A25" s="163"/>
      <c r="B25" s="212" t="s">
        <v>202</v>
      </c>
      <c r="C25" s="204"/>
      <c r="D25" s="205"/>
      <c r="E25" s="205"/>
      <c r="F25" s="205"/>
      <c r="G25" s="205">
        <v>22</v>
      </c>
      <c r="H25" s="205"/>
      <c r="I25" s="205"/>
      <c r="J25" s="205"/>
      <c r="K25" s="206"/>
      <c r="L25" s="34"/>
    </row>
    <row r="26" spans="1:11" ht="11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161"/>
    </row>
    <row r="27" spans="1:12" ht="12.75" customHeight="1">
      <c r="A27" s="59"/>
      <c r="B27" s="60"/>
      <c r="C27" s="59"/>
      <c r="D27" s="60"/>
      <c r="E27" s="60"/>
      <c r="F27" s="241" t="s">
        <v>178</v>
      </c>
      <c r="G27" s="241"/>
      <c r="H27" s="241"/>
      <c r="I27" s="182"/>
      <c r="J27" s="60"/>
      <c r="K27" s="153"/>
      <c r="L27" s="153"/>
    </row>
    <row r="28" spans="1:13" ht="11.25">
      <c r="A28" s="23" t="s">
        <v>62</v>
      </c>
      <c r="B28" s="54" t="s">
        <v>63</v>
      </c>
      <c r="C28" s="64">
        <v>319.2</v>
      </c>
      <c r="D28" s="62">
        <v>103.2</v>
      </c>
      <c r="E28" s="61">
        <f>+(E6/1000)*E$24</f>
        <v>3.3320000000000003</v>
      </c>
      <c r="F28" s="61">
        <f>+(F6/1000)*F$24</f>
        <v>0.34</v>
      </c>
      <c r="G28" s="62">
        <v>127.7</v>
      </c>
      <c r="H28" s="61">
        <f>+(H6/1000)*H$24</f>
        <v>61.064</v>
      </c>
      <c r="I28" s="62">
        <v>26.9</v>
      </c>
      <c r="J28" s="61">
        <f>+(J6/1000)*J$24</f>
        <v>0.23800000000000002</v>
      </c>
      <c r="K28" s="70">
        <v>4.9</v>
      </c>
      <c r="L28" s="70">
        <f>+(L6/1000)*L$24</f>
        <v>7.15</v>
      </c>
      <c r="M28" s="81">
        <f>SUM(D28:K28)-L28</f>
        <v>320.524</v>
      </c>
    </row>
    <row r="29" spans="1:13" ht="11.25">
      <c r="A29" s="23" t="s">
        <v>66</v>
      </c>
      <c r="B29" s="54" t="s">
        <v>67</v>
      </c>
      <c r="C29" s="63">
        <f>SUM(D29:K29)-L29</f>
        <v>24.901785657006656</v>
      </c>
      <c r="D29" s="61">
        <f>+(D8/1000)*D$24</f>
        <v>19.85303292894281</v>
      </c>
      <c r="E29" s="61">
        <f aca="true" t="shared" si="1" ref="E29:L29">+(E8/1000)*E$24</f>
        <v>0</v>
      </c>
      <c r="F29" s="61">
        <f t="shared" si="1"/>
        <v>0</v>
      </c>
      <c r="G29" s="61">
        <f t="shared" si="1"/>
        <v>4.949612403100775</v>
      </c>
      <c r="H29" s="61">
        <f t="shared" si="1"/>
        <v>0</v>
      </c>
      <c r="I29" s="61">
        <f t="shared" si="1"/>
        <v>0</v>
      </c>
      <c r="J29" s="61">
        <f t="shared" si="1"/>
        <v>0.034</v>
      </c>
      <c r="K29" s="70">
        <f t="shared" si="1"/>
        <v>0.06514032496307237</v>
      </c>
      <c r="L29" s="70">
        <f t="shared" si="1"/>
        <v>0</v>
      </c>
      <c r="M29" s="81"/>
    </row>
    <row r="30" spans="1:12" ht="11.25">
      <c r="A30" s="23" t="s">
        <v>74</v>
      </c>
      <c r="B30" s="54" t="s">
        <v>75</v>
      </c>
      <c r="C30" s="63">
        <f>SUM(D30:K30)-L30</f>
        <v>4.449467849119599</v>
      </c>
      <c r="D30" s="61">
        <f>+(D12/1000)*D$24</f>
        <v>1.251993067590988</v>
      </c>
      <c r="E30" s="61">
        <f aca="true" t="shared" si="2" ref="E30:L30">+(E12/1000)*E$24</f>
        <v>0.10200000000000001</v>
      </c>
      <c r="F30" s="61">
        <f t="shared" si="2"/>
        <v>0.034</v>
      </c>
      <c r="G30" s="61">
        <f t="shared" si="2"/>
        <v>2.3569582871908454</v>
      </c>
      <c r="H30" s="61">
        <f t="shared" si="2"/>
        <v>0.068</v>
      </c>
      <c r="I30" s="61">
        <f t="shared" si="2"/>
        <v>0.44833333333333336</v>
      </c>
      <c r="J30" s="61">
        <f t="shared" si="2"/>
        <v>0</v>
      </c>
      <c r="K30" s="70">
        <f t="shared" si="2"/>
        <v>0.1881831610044313</v>
      </c>
      <c r="L30" s="70">
        <f t="shared" si="2"/>
        <v>0</v>
      </c>
    </row>
    <row r="31" spans="1:12" ht="11.25">
      <c r="A31" s="23" t="s">
        <v>78</v>
      </c>
      <c r="B31" s="54" t="s">
        <v>79</v>
      </c>
      <c r="C31" s="63">
        <f>SUM(D31:K31)-L31</f>
        <v>70.86212733595565</v>
      </c>
      <c r="D31" s="61">
        <f>+(D14/1000)*D$24</f>
        <v>13.056499133448874</v>
      </c>
      <c r="E31" s="61">
        <f aca="true" t="shared" si="3" ref="E31:L31">+(E14/1000)*E$24</f>
        <v>0.10200000000000001</v>
      </c>
      <c r="F31" s="61">
        <f t="shared" si="3"/>
        <v>0</v>
      </c>
      <c r="G31" s="61">
        <f t="shared" si="3"/>
        <v>36.86282761166482</v>
      </c>
      <c r="H31" s="61">
        <f t="shared" si="3"/>
        <v>21.726</v>
      </c>
      <c r="I31" s="61">
        <f t="shared" si="3"/>
        <v>0</v>
      </c>
      <c r="J31" s="61">
        <f t="shared" si="3"/>
        <v>0</v>
      </c>
      <c r="K31" s="70">
        <f t="shared" si="3"/>
        <v>1.45480059084195</v>
      </c>
      <c r="L31" s="70">
        <f t="shared" si="3"/>
        <v>2.34</v>
      </c>
    </row>
    <row r="32" spans="1:12" ht="11.25">
      <c r="A32" s="23" t="s">
        <v>80</v>
      </c>
      <c r="B32" s="54" t="s">
        <v>81</v>
      </c>
      <c r="C32" s="63">
        <f>SUM(D32:K32)-L32</f>
        <v>48.17915215992695</v>
      </c>
      <c r="D32" s="61">
        <f>+(D15/1000)*D$24</f>
        <v>11.804506065857886</v>
      </c>
      <c r="E32" s="61">
        <f aca="true" t="shared" si="4" ref="E32:L32">+(E15/1000)*E$24</f>
        <v>0.068</v>
      </c>
      <c r="F32" s="61">
        <f t="shared" si="4"/>
        <v>0.034</v>
      </c>
      <c r="G32" s="61">
        <f t="shared" si="4"/>
        <v>12.209043927648578</v>
      </c>
      <c r="H32" s="61">
        <f t="shared" si="4"/>
        <v>22.950000000000003</v>
      </c>
      <c r="I32" s="61">
        <f t="shared" si="4"/>
        <v>1.5243333333333335</v>
      </c>
      <c r="J32" s="61">
        <f t="shared" si="4"/>
        <v>0</v>
      </c>
      <c r="K32" s="70">
        <f t="shared" si="4"/>
        <v>0.4342688330871492</v>
      </c>
      <c r="L32" s="70">
        <f t="shared" si="4"/>
        <v>0.845</v>
      </c>
    </row>
    <row r="33" spans="1:12" ht="11.25">
      <c r="A33" s="27" t="s">
        <v>86</v>
      </c>
      <c r="B33" s="55" t="s">
        <v>87</v>
      </c>
      <c r="C33" s="73">
        <f>SUM(D33:K33)-L33</f>
        <v>14.952556865977693</v>
      </c>
      <c r="D33" s="71">
        <f>+(D18/1000)*D$24</f>
        <v>2.3251299826689773</v>
      </c>
      <c r="E33" s="71">
        <f aca="true" t="shared" si="5" ref="E33:L33">+(E18/1000)*E$24</f>
        <v>0</v>
      </c>
      <c r="F33" s="71">
        <f t="shared" si="5"/>
        <v>0</v>
      </c>
      <c r="G33" s="71">
        <f>+(G18/1000)*G$25</f>
        <v>12.584</v>
      </c>
      <c r="H33" s="71">
        <f t="shared" si="5"/>
        <v>0</v>
      </c>
      <c r="I33" s="71">
        <f t="shared" si="5"/>
        <v>0</v>
      </c>
      <c r="J33" s="71">
        <f t="shared" si="5"/>
        <v>0</v>
      </c>
      <c r="K33" s="72">
        <f t="shared" si="5"/>
        <v>0.04342688330871492</v>
      </c>
      <c r="L33" s="72">
        <f t="shared" si="5"/>
        <v>0</v>
      </c>
    </row>
    <row r="34" ht="11.25">
      <c r="C34" s="81"/>
    </row>
    <row r="35" spans="3:4" ht="11.25" hidden="1">
      <c r="C35" s="169"/>
      <c r="D35" s="53" t="s">
        <v>189</v>
      </c>
    </row>
    <row r="37" ht="11.25">
      <c r="B37" s="53" t="s">
        <v>191</v>
      </c>
    </row>
    <row r="38" ht="11.25">
      <c r="B38" s="53" t="s">
        <v>198</v>
      </c>
    </row>
  </sheetData>
  <mergeCells count="5">
    <mergeCell ref="A1:K1"/>
    <mergeCell ref="A2:K2"/>
    <mergeCell ref="F27:H27"/>
    <mergeCell ref="A23:B23"/>
    <mergeCell ref="F5:H5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B24" sqref="B24"/>
    </sheetView>
  </sheetViews>
  <sheetFormatPr defaultColWidth="9.140625" defaultRowHeight="12.75"/>
  <cols>
    <col min="1" max="1" width="7.421875" style="86" bestFit="1" customWidth="1"/>
    <col min="2" max="2" width="25.7109375" style="86" customWidth="1"/>
    <col min="3" max="11" width="9.140625" style="86" customWidth="1"/>
    <col min="12" max="12" width="0" style="86" hidden="1" customWidth="1"/>
    <col min="13" max="16384" width="9.140625" style="86" customWidth="1"/>
  </cols>
  <sheetData>
    <row r="1" spans="1:11" ht="11.25">
      <c r="A1" s="235" t="s">
        <v>226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1.25">
      <c r="A2" s="242" t="s">
        <v>200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2" ht="11.25">
      <c r="A3" s="84"/>
      <c r="B3" s="83"/>
      <c r="C3" s="2"/>
      <c r="D3" s="6" t="s">
        <v>4</v>
      </c>
      <c r="E3" s="6" t="s">
        <v>5</v>
      </c>
      <c r="F3" s="6" t="s">
        <v>6</v>
      </c>
      <c r="G3" s="152" t="s">
        <v>9</v>
      </c>
      <c r="H3" s="6" t="s">
        <v>7</v>
      </c>
      <c r="I3" s="5"/>
      <c r="J3" s="6" t="s">
        <v>8</v>
      </c>
      <c r="K3" s="7" t="s">
        <v>0</v>
      </c>
      <c r="L3" s="213" t="s">
        <v>166</v>
      </c>
    </row>
    <row r="4" spans="1:12" ht="11.25">
      <c r="A4" s="87" t="s">
        <v>2</v>
      </c>
      <c r="B4" s="88" t="s">
        <v>3</v>
      </c>
      <c r="C4" s="16" t="s">
        <v>166</v>
      </c>
      <c r="D4" s="11" t="s">
        <v>174</v>
      </c>
      <c r="E4" s="11" t="s">
        <v>10</v>
      </c>
      <c r="F4" s="11" t="s">
        <v>10</v>
      </c>
      <c r="G4" s="11" t="s">
        <v>172</v>
      </c>
      <c r="H4" s="11" t="s">
        <v>175</v>
      </c>
      <c r="I4" s="11" t="s">
        <v>11</v>
      </c>
      <c r="J4" s="11" t="s">
        <v>12</v>
      </c>
      <c r="K4" s="13" t="s">
        <v>176</v>
      </c>
      <c r="L4" s="177" t="s">
        <v>167</v>
      </c>
    </row>
    <row r="5" spans="1:12" ht="11.25">
      <c r="A5" s="90"/>
      <c r="B5" s="79"/>
      <c r="C5" s="90"/>
      <c r="D5" s="78"/>
      <c r="E5" s="78"/>
      <c r="F5" s="232" t="s">
        <v>177</v>
      </c>
      <c r="G5" s="232"/>
      <c r="H5" s="232"/>
      <c r="I5" s="78"/>
      <c r="J5" s="78"/>
      <c r="K5" s="79"/>
      <c r="L5" s="79"/>
    </row>
    <row r="6" spans="1:12" ht="11.25">
      <c r="A6" s="91" t="s">
        <v>98</v>
      </c>
      <c r="B6" s="92" t="s">
        <v>99</v>
      </c>
      <c r="C6" s="93">
        <v>979</v>
      </c>
      <c r="D6" s="94">
        <v>134</v>
      </c>
      <c r="E6" s="94">
        <v>4</v>
      </c>
      <c r="F6" s="94">
        <v>17</v>
      </c>
      <c r="G6" s="94">
        <v>444</v>
      </c>
      <c r="H6" s="94">
        <v>3</v>
      </c>
      <c r="I6" s="94">
        <v>284</v>
      </c>
      <c r="J6" s="94">
        <v>11</v>
      </c>
      <c r="K6" s="95">
        <v>82</v>
      </c>
      <c r="L6" s="89">
        <f>SUM(D6:K6)</f>
        <v>979</v>
      </c>
    </row>
    <row r="7" spans="1:12" ht="11.25">
      <c r="A7" s="96" t="s">
        <v>100</v>
      </c>
      <c r="B7" s="97" t="s">
        <v>101</v>
      </c>
      <c r="C7" s="175" t="s">
        <v>159</v>
      </c>
      <c r="D7" s="176" t="s">
        <v>159</v>
      </c>
      <c r="E7" s="176" t="s">
        <v>159</v>
      </c>
      <c r="F7" s="176" t="s">
        <v>159</v>
      </c>
      <c r="G7" s="176" t="s">
        <v>159</v>
      </c>
      <c r="H7" s="176" t="s">
        <v>159</v>
      </c>
      <c r="I7" s="176" t="s">
        <v>159</v>
      </c>
      <c r="J7" s="176" t="s">
        <v>159</v>
      </c>
      <c r="K7" s="177" t="s">
        <v>159</v>
      </c>
      <c r="L7" s="177"/>
    </row>
    <row r="8" spans="1:12" ht="11.25">
      <c r="A8" s="96" t="s">
        <v>102</v>
      </c>
      <c r="B8" s="97" t="s">
        <v>103</v>
      </c>
      <c r="C8" s="175" t="s">
        <v>159</v>
      </c>
      <c r="D8" s="176" t="s">
        <v>159</v>
      </c>
      <c r="E8" s="176" t="s">
        <v>159</v>
      </c>
      <c r="F8" s="176" t="s">
        <v>159</v>
      </c>
      <c r="G8" s="176" t="s">
        <v>159</v>
      </c>
      <c r="H8" s="176" t="s">
        <v>159</v>
      </c>
      <c r="I8" s="176" t="s">
        <v>159</v>
      </c>
      <c r="J8" s="176" t="s">
        <v>159</v>
      </c>
      <c r="K8" s="177" t="s">
        <v>159</v>
      </c>
      <c r="L8" s="89"/>
    </row>
    <row r="9" spans="1:12" ht="11.25">
      <c r="A9" s="96" t="s">
        <v>104</v>
      </c>
      <c r="B9" s="97" t="s">
        <v>105</v>
      </c>
      <c r="C9" s="98">
        <v>355</v>
      </c>
      <c r="D9" s="99">
        <v>39</v>
      </c>
      <c r="E9" s="99">
        <v>0</v>
      </c>
      <c r="F9" s="99">
        <v>3</v>
      </c>
      <c r="G9" s="99">
        <v>27</v>
      </c>
      <c r="H9" s="99">
        <v>0</v>
      </c>
      <c r="I9" s="99">
        <v>225</v>
      </c>
      <c r="J9" s="99">
        <v>6</v>
      </c>
      <c r="K9" s="100">
        <v>55</v>
      </c>
      <c r="L9" s="89">
        <f>SUM(D9:K9)</f>
        <v>355</v>
      </c>
    </row>
    <row r="10" spans="1:12" ht="11.25">
      <c r="A10" s="96" t="s">
        <v>106</v>
      </c>
      <c r="B10" s="97" t="s">
        <v>107</v>
      </c>
      <c r="C10" s="175" t="s">
        <v>159</v>
      </c>
      <c r="D10" s="176" t="s">
        <v>159</v>
      </c>
      <c r="E10" s="176" t="s">
        <v>159</v>
      </c>
      <c r="F10" s="176" t="s">
        <v>159</v>
      </c>
      <c r="G10" s="176" t="s">
        <v>159</v>
      </c>
      <c r="H10" s="176" t="s">
        <v>159</v>
      </c>
      <c r="I10" s="176" t="s">
        <v>159</v>
      </c>
      <c r="J10" s="176" t="s">
        <v>159</v>
      </c>
      <c r="K10" s="177" t="s">
        <v>159</v>
      </c>
      <c r="L10" s="89"/>
    </row>
    <row r="11" spans="1:12" ht="11.25">
      <c r="A11" s="101" t="s">
        <v>108</v>
      </c>
      <c r="B11" s="102" t="s">
        <v>109</v>
      </c>
      <c r="C11" s="178" t="s">
        <v>159</v>
      </c>
      <c r="D11" s="179" t="s">
        <v>159</v>
      </c>
      <c r="E11" s="179" t="s">
        <v>159</v>
      </c>
      <c r="F11" s="179" t="s">
        <v>159</v>
      </c>
      <c r="G11" s="179" t="s">
        <v>159</v>
      </c>
      <c r="H11" s="179" t="s">
        <v>159</v>
      </c>
      <c r="I11" s="179" t="s">
        <v>159</v>
      </c>
      <c r="J11" s="179" t="s">
        <v>159</v>
      </c>
      <c r="K11" s="180" t="s">
        <v>159</v>
      </c>
      <c r="L11" s="79"/>
    </row>
    <row r="12" spans="1:12" ht="11.25">
      <c r="A12" s="214"/>
      <c r="B12" s="82"/>
      <c r="C12" s="82"/>
      <c r="D12" s="82"/>
      <c r="E12" s="82"/>
      <c r="F12" s="82"/>
      <c r="G12" s="82"/>
      <c r="H12" s="82"/>
      <c r="I12" s="82"/>
      <c r="J12" s="82"/>
      <c r="K12" s="89"/>
      <c r="L12" s="82"/>
    </row>
    <row r="13" spans="1:12" ht="11.25">
      <c r="A13" s="247" t="s">
        <v>188</v>
      </c>
      <c r="B13" s="248"/>
      <c r="C13" s="82"/>
      <c r="D13" s="99">
        <f>+D16/(D6/1000)</f>
        <v>182.08955223880594</v>
      </c>
      <c r="E13" s="99">
        <f>+E16/(E6/1000)</f>
        <v>174.99999999999997</v>
      </c>
      <c r="F13" s="99">
        <f>+F16/(F6/1000)</f>
        <v>176.47058823529412</v>
      </c>
      <c r="G13" s="99">
        <f>+G16/(G6/1000)</f>
        <v>52.7027027027027</v>
      </c>
      <c r="H13" s="99">
        <v>62.68</v>
      </c>
      <c r="I13" s="99">
        <f>+I16/(I6/1000)</f>
        <v>97.53521126760565</v>
      </c>
      <c r="J13" s="99">
        <v>175</v>
      </c>
      <c r="K13" s="100">
        <f>+K16/(K6/1000)</f>
        <v>9.75609756097561</v>
      </c>
      <c r="L13" s="99"/>
    </row>
    <row r="14" spans="1:12" ht="11.25">
      <c r="A14" s="87"/>
      <c r="B14" s="215"/>
      <c r="C14" s="82"/>
      <c r="D14" s="99"/>
      <c r="E14" s="99"/>
      <c r="F14" s="99"/>
      <c r="G14" s="99"/>
      <c r="H14" s="99"/>
      <c r="I14" s="99"/>
      <c r="J14" s="99"/>
      <c r="K14" s="100"/>
      <c r="L14" s="99"/>
    </row>
    <row r="15" spans="1:12" ht="11.25">
      <c r="A15" s="84"/>
      <c r="B15" s="85"/>
      <c r="C15" s="83"/>
      <c r="D15" s="83"/>
      <c r="E15" s="83"/>
      <c r="F15" s="241" t="s">
        <v>178</v>
      </c>
      <c r="G15" s="241"/>
      <c r="H15" s="241"/>
      <c r="I15" s="83"/>
      <c r="J15" s="83"/>
      <c r="K15" s="85"/>
      <c r="L15" s="82"/>
    </row>
    <row r="16" spans="1:12" ht="11.25">
      <c r="A16" s="96" t="s">
        <v>98</v>
      </c>
      <c r="B16" s="97" t="s">
        <v>99</v>
      </c>
      <c r="C16" s="82">
        <v>82.9</v>
      </c>
      <c r="D16" s="82">
        <v>24.4</v>
      </c>
      <c r="E16" s="82">
        <v>0.7</v>
      </c>
      <c r="F16" s="82">
        <v>3</v>
      </c>
      <c r="G16" s="82">
        <v>23.4</v>
      </c>
      <c r="H16" s="82">
        <f>+(H6/1000)*H$13</f>
        <v>0.18804</v>
      </c>
      <c r="I16" s="82">
        <v>27.7</v>
      </c>
      <c r="J16" s="82">
        <f>+(J6/1000)*J$13</f>
        <v>1.9249999999999998</v>
      </c>
      <c r="K16" s="89">
        <v>0.8</v>
      </c>
      <c r="L16" s="82">
        <f>SUM(D16:K16)</f>
        <v>82.11304</v>
      </c>
    </row>
    <row r="17" spans="1:11" ht="11.25">
      <c r="A17" s="96" t="s">
        <v>100</v>
      </c>
      <c r="B17" s="97" t="s">
        <v>101</v>
      </c>
      <c r="C17" s="176" t="s">
        <v>159</v>
      </c>
      <c r="D17" s="176" t="s">
        <v>159</v>
      </c>
      <c r="E17" s="176" t="s">
        <v>159</v>
      </c>
      <c r="F17" s="176" t="s">
        <v>159</v>
      </c>
      <c r="G17" s="176" t="s">
        <v>159</v>
      </c>
      <c r="H17" s="176" t="s">
        <v>159</v>
      </c>
      <c r="I17" s="176" t="s">
        <v>159</v>
      </c>
      <c r="J17" s="176" t="s">
        <v>159</v>
      </c>
      <c r="K17" s="177" t="s">
        <v>159</v>
      </c>
    </row>
    <row r="18" spans="1:11" ht="11.25">
      <c r="A18" s="96" t="s">
        <v>102</v>
      </c>
      <c r="B18" s="97" t="s">
        <v>103</v>
      </c>
      <c r="C18" s="176" t="s">
        <v>159</v>
      </c>
      <c r="D18" s="176" t="s">
        <v>159</v>
      </c>
      <c r="E18" s="176" t="s">
        <v>159</v>
      </c>
      <c r="F18" s="176" t="s">
        <v>159</v>
      </c>
      <c r="G18" s="176" t="s">
        <v>159</v>
      </c>
      <c r="H18" s="176" t="s">
        <v>159</v>
      </c>
      <c r="I18" s="176" t="s">
        <v>159</v>
      </c>
      <c r="J18" s="176" t="s">
        <v>159</v>
      </c>
      <c r="K18" s="177" t="s">
        <v>159</v>
      </c>
    </row>
    <row r="19" spans="1:11" ht="11.25">
      <c r="A19" s="96" t="s">
        <v>104</v>
      </c>
      <c r="B19" s="97" t="s">
        <v>105</v>
      </c>
      <c r="C19" s="82">
        <f>SUM(D19:K19)</f>
        <v>32.58588517605722</v>
      </c>
      <c r="D19" s="82">
        <f aca="true" t="shared" si="0" ref="D19:K19">+(D9/1000)*D$13</f>
        <v>7.101492537313431</v>
      </c>
      <c r="E19" s="82">
        <f t="shared" si="0"/>
        <v>0</v>
      </c>
      <c r="F19" s="82">
        <f t="shared" si="0"/>
        <v>0.5294117647058824</v>
      </c>
      <c r="G19" s="82">
        <f t="shared" si="0"/>
        <v>1.422972972972973</v>
      </c>
      <c r="H19" s="82">
        <f t="shared" si="0"/>
        <v>0</v>
      </c>
      <c r="I19" s="82">
        <f t="shared" si="0"/>
        <v>21.94542253521127</v>
      </c>
      <c r="J19" s="82">
        <f t="shared" si="0"/>
        <v>1.05</v>
      </c>
      <c r="K19" s="89">
        <f t="shared" si="0"/>
        <v>0.5365853658536586</v>
      </c>
    </row>
    <row r="20" spans="1:11" ht="11.25">
      <c r="A20" s="96" t="s">
        <v>106</v>
      </c>
      <c r="B20" s="97" t="s">
        <v>107</v>
      </c>
      <c r="C20" s="176" t="s">
        <v>159</v>
      </c>
      <c r="D20" s="176" t="s">
        <v>159</v>
      </c>
      <c r="E20" s="176" t="s">
        <v>159</v>
      </c>
      <c r="F20" s="176" t="s">
        <v>159</v>
      </c>
      <c r="G20" s="176" t="s">
        <v>159</v>
      </c>
      <c r="H20" s="176" t="s">
        <v>159</v>
      </c>
      <c r="I20" s="176" t="s">
        <v>159</v>
      </c>
      <c r="J20" s="176" t="s">
        <v>159</v>
      </c>
      <c r="K20" s="177" t="s">
        <v>159</v>
      </c>
    </row>
    <row r="21" spans="1:11" ht="11.25">
      <c r="A21" s="101" t="s">
        <v>108</v>
      </c>
      <c r="B21" s="102" t="s">
        <v>109</v>
      </c>
      <c r="C21" s="179" t="s">
        <v>159</v>
      </c>
      <c r="D21" s="179" t="s">
        <v>159</v>
      </c>
      <c r="E21" s="179" t="s">
        <v>159</v>
      </c>
      <c r="F21" s="179" t="s">
        <v>159</v>
      </c>
      <c r="G21" s="179" t="s">
        <v>159</v>
      </c>
      <c r="H21" s="179" t="s">
        <v>159</v>
      </c>
      <c r="I21" s="179" t="s">
        <v>159</v>
      </c>
      <c r="J21" s="179" t="s">
        <v>159</v>
      </c>
      <c r="K21" s="180" t="s">
        <v>159</v>
      </c>
    </row>
    <row r="24" ht="11.25">
      <c r="B24" s="86" t="s">
        <v>192</v>
      </c>
    </row>
  </sheetData>
  <mergeCells count="5">
    <mergeCell ref="A13:B13"/>
    <mergeCell ref="F5:H5"/>
    <mergeCell ref="F15:H15"/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NOTES</dc:creator>
  <cp:keywords/>
  <dc:description/>
  <cp:lastModifiedBy> NOTES</cp:lastModifiedBy>
  <cp:lastPrinted>2010-04-16T15:38:15Z</cp:lastPrinted>
  <dcterms:created xsi:type="dcterms:W3CDTF">2009-07-29T12:29:26Z</dcterms:created>
  <dcterms:modified xsi:type="dcterms:W3CDTF">2010-04-16T18:29:22Z</dcterms:modified>
  <cp:category/>
  <cp:version/>
  <cp:contentType/>
  <cp:contentStatus/>
</cp:coreProperties>
</file>